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BRLi\Verdonck\A00852_OMVG_UNCDF\05_Production\3_PlansSectoriels\V2\"/>
    </mc:Choice>
  </mc:AlternateContent>
  <bookViews>
    <workbookView xWindow="0" yWindow="0" windowWidth="17250" windowHeight="5910" activeTab="2"/>
  </bookViews>
  <sheets>
    <sheet name="Budget Resume" sheetId="4" r:id="rId1"/>
    <sheet name="Chronogramme" sheetId="1" r:id="rId2"/>
    <sheet name="ProgrMesures_Budget" sheetId="2" r:id="rId3"/>
    <sheet name="Sheet1" sheetId="3" r:id="rId4"/>
  </sheets>
  <externalReferences>
    <externalReference r:id="rId5"/>
    <externalReference r:id="rId6"/>
  </externalReferences>
  <definedNames>
    <definedName name="thr_fa_obj_01" localSheetId="0">[1]Dashboard_Budget_COFIN!#REF!</definedName>
    <definedName name="thr_fa_obj_01" localSheetId="2">[1]Dashboard_Budget_COFIN!#REF!</definedName>
    <definedName name="thr_fa_obj_02" localSheetId="0">[1]Dashboard_Budget_COFIN!#REF!</definedName>
    <definedName name="thr_fa_obj_02" localSheetId="2">[1]Dashboard_Budget_COFIN!#REF!</definedName>
    <definedName name="thr_fa_obj_03" localSheetId="0">[1]Dashboard_Budget_COFIN!#REF!</definedName>
    <definedName name="thr_fa_obj_03" localSheetId="2">[1]Dashboard_Budget_COFIN!#REF!</definedName>
    <definedName name="_xlnm.Print_Area" localSheetId="0">'Budget Resume'!$B$2:$I$15</definedName>
    <definedName name="_xlnm.Print_Area" localSheetId="1">Chronogramme!$B$1:$W$78</definedName>
    <definedName name="_xlnm.Print_Area" localSheetId="2">ProgrMesures_Budget!$B$2:$I$117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B6" i="1"/>
  <c r="B7" i="1"/>
  <c r="C13" i="4"/>
  <c r="C11" i="4"/>
  <c r="C9" i="4"/>
  <c r="C7" i="4"/>
  <c r="C5" i="4"/>
  <c r="B13" i="4"/>
  <c r="B11" i="4"/>
  <c r="B9" i="4"/>
  <c r="B7" i="4"/>
  <c r="B5" i="4"/>
  <c r="B3" i="4"/>
  <c r="D74" i="1" l="1"/>
  <c r="B91" i="1"/>
  <c r="D65" i="1" l="1"/>
  <c r="H70" i="2"/>
  <c r="I57" i="2"/>
  <c r="H57" i="2"/>
  <c r="G57" i="2"/>
  <c r="I70" i="2"/>
  <c r="G69" i="2"/>
  <c r="H69" i="2"/>
  <c r="H25" i="2"/>
  <c r="G25" i="2"/>
  <c r="H23" i="2"/>
  <c r="G23" i="2"/>
  <c r="H22" i="2"/>
  <c r="G22" i="2"/>
  <c r="H21" i="2"/>
  <c r="G21" i="2"/>
  <c r="D23" i="1"/>
  <c r="H37" i="2"/>
  <c r="G37" i="2"/>
  <c r="D37" i="1"/>
  <c r="C37" i="1"/>
  <c r="G32" i="2"/>
  <c r="D48" i="1"/>
  <c r="I47" i="2"/>
  <c r="H52" i="2"/>
  <c r="G52" i="2"/>
  <c r="D30" i="1"/>
  <c r="H30" i="2"/>
  <c r="G30" i="2"/>
  <c r="G56" i="2"/>
  <c r="H56" i="2"/>
  <c r="D52" i="1"/>
  <c r="D64" i="1"/>
  <c r="H68" i="2"/>
  <c r="G68" i="2"/>
  <c r="D63" i="1"/>
  <c r="H67" i="2"/>
  <c r="G67" i="2"/>
  <c r="G51" i="2"/>
  <c r="G11" i="2"/>
  <c r="D47" i="1"/>
  <c r="B49" i="1"/>
  <c r="D46" i="1"/>
  <c r="C11" i="1"/>
  <c r="D11" i="1"/>
  <c r="H11" i="2"/>
  <c r="H51" i="2"/>
  <c r="D69" i="2" l="1"/>
  <c r="D37" i="2"/>
  <c r="D68" i="2"/>
  <c r="D11" i="2"/>
  <c r="D52" i="2"/>
  <c r="D30" i="2"/>
  <c r="D56" i="2"/>
  <c r="D67" i="2"/>
  <c r="D51" i="2"/>
  <c r="H12" i="2"/>
  <c r="G12" i="2"/>
  <c r="D12" i="1"/>
  <c r="C12" i="1"/>
  <c r="D66" i="2"/>
  <c r="D62" i="1"/>
  <c r="H82" i="2"/>
  <c r="G82" i="2"/>
  <c r="H59" i="2"/>
  <c r="G59" i="2"/>
  <c r="H54" i="2"/>
  <c r="G54" i="2"/>
  <c r="H48" i="2"/>
  <c r="G48" i="2"/>
  <c r="H40" i="2"/>
  <c r="G40" i="2"/>
  <c r="H15" i="2"/>
  <c r="G15" i="2"/>
  <c r="D10" i="1"/>
  <c r="C10" i="1"/>
  <c r="D10" i="2"/>
  <c r="H108" i="2"/>
  <c r="I108" i="2"/>
  <c r="G108" i="2"/>
  <c r="D97" i="1"/>
  <c r="D96" i="1"/>
  <c r="D95" i="1"/>
  <c r="D94" i="1"/>
  <c r="D93" i="1"/>
  <c r="D92" i="1"/>
  <c r="I113" i="2"/>
  <c r="H113" i="2"/>
  <c r="G113" i="2"/>
  <c r="G50" i="2"/>
  <c r="D50" i="2" s="1"/>
  <c r="G58" i="2"/>
  <c r="D23" i="2"/>
  <c r="I13" i="2"/>
  <c r="G20" i="2"/>
  <c r="I115" i="2"/>
  <c r="I114" i="2" s="1"/>
  <c r="H115" i="2"/>
  <c r="H114" i="2" s="1"/>
  <c r="G115" i="2"/>
  <c r="G114" i="2" s="1"/>
  <c r="H63" i="2"/>
  <c r="G63" i="2"/>
  <c r="I84" i="2"/>
  <c r="H26" i="3"/>
  <c r="G26" i="3"/>
  <c r="F26" i="3"/>
  <c r="G17" i="2"/>
  <c r="H17" i="2" s="1"/>
  <c r="D17" i="1"/>
  <c r="G19" i="3"/>
  <c r="F19" i="3"/>
  <c r="H19" i="3" s="1"/>
  <c r="I19" i="3" s="1"/>
  <c r="J19" i="3" s="1"/>
  <c r="E19" i="3"/>
  <c r="H81" i="2"/>
  <c r="G81" i="2"/>
  <c r="D73" i="2"/>
  <c r="D69" i="1"/>
  <c r="H94" i="2"/>
  <c r="G94" i="2"/>
  <c r="H93" i="2"/>
  <c r="G93" i="2"/>
  <c r="H98" i="2"/>
  <c r="G98" i="2"/>
  <c r="D19" i="1"/>
  <c r="F20" i="3"/>
  <c r="G20" i="3"/>
  <c r="E20" i="3"/>
  <c r="F36" i="3"/>
  <c r="H48" i="3"/>
  <c r="G48" i="3"/>
  <c r="H38" i="3"/>
  <c r="G38" i="3"/>
  <c r="F38" i="3"/>
  <c r="F50" i="3" s="1"/>
  <c r="F46" i="3"/>
  <c r="H46" i="3"/>
  <c r="G46" i="3"/>
  <c r="H45" i="3"/>
  <c r="G45" i="3"/>
  <c r="F37" i="3"/>
  <c r="H36" i="3"/>
  <c r="G36" i="3"/>
  <c r="H35" i="3"/>
  <c r="G35" i="3"/>
  <c r="F35" i="3"/>
  <c r="D19" i="2"/>
  <c r="D18" i="1"/>
  <c r="D18" i="2"/>
  <c r="G27" i="3"/>
  <c r="G29" i="3" s="1"/>
  <c r="H27" i="3"/>
  <c r="H29" i="3" s="1"/>
  <c r="F27" i="3"/>
  <c r="F29" i="3" s="1"/>
  <c r="H30" i="3" s="1"/>
  <c r="I26" i="3"/>
  <c r="D16" i="1"/>
  <c r="H110" i="2"/>
  <c r="D110" i="2" s="1"/>
  <c r="G109" i="2"/>
  <c r="H109" i="2"/>
  <c r="D95" i="2"/>
  <c r="H97" i="2"/>
  <c r="I97" i="2"/>
  <c r="I92" i="2" s="1"/>
  <c r="G96" i="2"/>
  <c r="H96" i="2"/>
  <c r="I99" i="2"/>
  <c r="H100" i="2"/>
  <c r="H101" i="2"/>
  <c r="G100" i="2"/>
  <c r="G101" i="2"/>
  <c r="H85" i="2"/>
  <c r="D85" i="2" s="1"/>
  <c r="H86" i="2"/>
  <c r="G83" i="2"/>
  <c r="H83" i="2"/>
  <c r="I83" i="2"/>
  <c r="I80" i="2" s="1"/>
  <c r="D73" i="1"/>
  <c r="G64" i="2"/>
  <c r="H64" i="2"/>
  <c r="D60" i="1"/>
  <c r="D59" i="1"/>
  <c r="I60" i="2"/>
  <c r="I61" i="2"/>
  <c r="H60" i="2"/>
  <c r="H61" i="2"/>
  <c r="H65" i="2"/>
  <c r="G60" i="2"/>
  <c r="G61" i="2"/>
  <c r="G62" i="2"/>
  <c r="D62" i="2" s="1"/>
  <c r="G65" i="2"/>
  <c r="D58" i="1"/>
  <c r="H72" i="2"/>
  <c r="G72" i="2"/>
  <c r="H74" i="2"/>
  <c r="G74" i="2"/>
  <c r="H41" i="2"/>
  <c r="G41" i="2"/>
  <c r="D24" i="2"/>
  <c r="D25" i="2"/>
  <c r="H29" i="2"/>
  <c r="G29" i="2"/>
  <c r="D29" i="1"/>
  <c r="I27" i="2"/>
  <c r="H28" i="2"/>
  <c r="G28" i="2"/>
  <c r="D28" i="1"/>
  <c r="D26" i="1"/>
  <c r="D25" i="1"/>
  <c r="D24" i="1"/>
  <c r="D26" i="2"/>
  <c r="D22" i="1"/>
  <c r="D21" i="1"/>
  <c r="D14" i="2"/>
  <c r="G8" i="2"/>
  <c r="G9" i="2"/>
  <c r="D9" i="2" s="1"/>
  <c r="G33" i="2"/>
  <c r="G34" i="2"/>
  <c r="G35" i="2"/>
  <c r="H32" i="2"/>
  <c r="H33" i="2"/>
  <c r="H34" i="2"/>
  <c r="I34" i="2"/>
  <c r="H35" i="2"/>
  <c r="H36" i="2"/>
  <c r="I36" i="2"/>
  <c r="D39" i="2"/>
  <c r="I7" i="2"/>
  <c r="I38" i="2"/>
  <c r="H8" i="2"/>
  <c r="I111" i="2"/>
  <c r="H111" i="2"/>
  <c r="G112" i="2"/>
  <c r="H112" i="2"/>
  <c r="D99" i="1"/>
  <c r="B98" i="1"/>
  <c r="D89" i="1"/>
  <c r="D88" i="1"/>
  <c r="B87" i="1"/>
  <c r="D81" i="1"/>
  <c r="B80" i="1"/>
  <c r="D82" i="1"/>
  <c r="D83" i="1"/>
  <c r="D84" i="1"/>
  <c r="D85" i="1"/>
  <c r="D86" i="1"/>
  <c r="B79" i="1"/>
  <c r="G86" i="2"/>
  <c r="G84" i="2" s="1"/>
  <c r="H49" i="2"/>
  <c r="D49" i="2" s="1"/>
  <c r="G71" i="2"/>
  <c r="H71" i="2"/>
  <c r="D54" i="1"/>
  <c r="I55" i="2"/>
  <c r="I53" i="2" s="1"/>
  <c r="H55" i="2"/>
  <c r="G55" i="2"/>
  <c r="D51" i="1"/>
  <c r="D57" i="1"/>
  <c r="P13" i="3"/>
  <c r="Q13" i="3"/>
  <c r="R13" i="3"/>
  <c r="S13" i="3"/>
  <c r="T13" i="3"/>
  <c r="B66" i="1"/>
  <c r="D67" i="1"/>
  <c r="D68" i="1"/>
  <c r="D70" i="1"/>
  <c r="J13" i="3"/>
  <c r="K13" i="3"/>
  <c r="L13" i="3"/>
  <c r="M13" i="3"/>
  <c r="N13" i="3"/>
  <c r="D61" i="1"/>
  <c r="E13" i="3"/>
  <c r="F13" i="3"/>
  <c r="G13" i="3"/>
  <c r="H13" i="3"/>
  <c r="D13" i="3"/>
  <c r="B53" i="1"/>
  <c r="D55" i="1"/>
  <c r="D56" i="1"/>
  <c r="B38" i="1"/>
  <c r="D39" i="1"/>
  <c r="D40" i="1"/>
  <c r="D41" i="1"/>
  <c r="D36" i="1"/>
  <c r="D35" i="1"/>
  <c r="M34" i="2"/>
  <c r="L34" i="2"/>
  <c r="K34" i="2"/>
  <c r="D34" i="1"/>
  <c r="D33" i="1"/>
  <c r="D32" i="1"/>
  <c r="B31" i="1"/>
  <c r="B27" i="1"/>
  <c r="B20" i="1"/>
  <c r="D44" i="2"/>
  <c r="D77" i="2" s="1"/>
  <c r="D15" i="1"/>
  <c r="D14" i="1"/>
  <c r="D9" i="1"/>
  <c r="C9" i="1"/>
  <c r="B13" i="1"/>
  <c r="D8" i="1"/>
  <c r="B42" i="1"/>
  <c r="D78" i="1"/>
  <c r="D77" i="1"/>
  <c r="B76" i="1"/>
  <c r="D75" i="1"/>
  <c r="B72" i="1"/>
  <c r="B71" i="1"/>
  <c r="D50" i="1"/>
  <c r="D45" i="1"/>
  <c r="D44" i="1"/>
  <c r="B43" i="1"/>
  <c r="H31" i="2" l="1"/>
  <c r="G31" i="2"/>
  <c r="I31" i="2"/>
  <c r="H27" i="2"/>
  <c r="H53" i="2"/>
  <c r="G47" i="2"/>
  <c r="H47" i="2"/>
  <c r="G27" i="2"/>
  <c r="G13" i="2"/>
  <c r="I45" i="2"/>
  <c r="I7" i="4" s="1"/>
  <c r="D58" i="2"/>
  <c r="H7" i="2"/>
  <c r="D12" i="2"/>
  <c r="L12" i="2" s="1"/>
  <c r="L51" i="2"/>
  <c r="G7" i="2"/>
  <c r="D60" i="2"/>
  <c r="D113" i="2"/>
  <c r="D108" i="2"/>
  <c r="D48" i="2"/>
  <c r="D47" i="2" s="1"/>
  <c r="I102" i="2"/>
  <c r="I87" i="2"/>
  <c r="H99" i="2"/>
  <c r="G92" i="2"/>
  <c r="G70" i="2"/>
  <c r="G99" i="2"/>
  <c r="D115" i="2"/>
  <c r="D114" i="2" s="1"/>
  <c r="G53" i="2"/>
  <c r="H107" i="2"/>
  <c r="H116" i="2" s="1"/>
  <c r="H92" i="2"/>
  <c r="G107" i="2"/>
  <c r="I107" i="2"/>
  <c r="H13" i="2"/>
  <c r="G80" i="2"/>
  <c r="G87" i="2" s="1"/>
  <c r="H80" i="2"/>
  <c r="D63" i="2"/>
  <c r="D61" i="2"/>
  <c r="I20" i="2"/>
  <c r="D22" i="2"/>
  <c r="H20" i="2"/>
  <c r="D29" i="2"/>
  <c r="D59" i="2"/>
  <c r="D64" i="2"/>
  <c r="D28" i="2"/>
  <c r="D65" i="2"/>
  <c r="F28" i="3"/>
  <c r="D17" i="2"/>
  <c r="H28" i="3"/>
  <c r="G28" i="3"/>
  <c r="D81" i="2"/>
  <c r="D89" i="2"/>
  <c r="D104" i="2" s="1"/>
  <c r="D86" i="2"/>
  <c r="D84" i="2" s="1"/>
  <c r="D41" i="2"/>
  <c r="D94" i="2"/>
  <c r="D93" i="2"/>
  <c r="H84" i="2"/>
  <c r="D98" i="2"/>
  <c r="D112" i="2"/>
  <c r="H20" i="3"/>
  <c r="H50" i="3"/>
  <c r="G50" i="3"/>
  <c r="H51" i="3" s="1"/>
  <c r="H49" i="3"/>
  <c r="G47" i="3"/>
  <c r="H47" i="3"/>
  <c r="H39" i="3"/>
  <c r="G37" i="3"/>
  <c r="H37" i="3"/>
  <c r="D36" i="2"/>
  <c r="I78" i="2"/>
  <c r="I9" i="4" s="1"/>
  <c r="D35" i="2"/>
  <c r="I90" i="2"/>
  <c r="I11" i="4" s="1"/>
  <c r="G38" i="2"/>
  <c r="D34" i="2"/>
  <c r="D72" i="2"/>
  <c r="D15" i="2"/>
  <c r="D54" i="2"/>
  <c r="D109" i="2"/>
  <c r="D21" i="2"/>
  <c r="L21" i="2" s="1"/>
  <c r="D83" i="2"/>
  <c r="L83" i="2" s="1"/>
  <c r="D16" i="2"/>
  <c r="D74" i="2"/>
  <c r="D100" i="2"/>
  <c r="D101" i="2"/>
  <c r="D40" i="2"/>
  <c r="D55" i="2"/>
  <c r="D111" i="2"/>
  <c r="D96" i="2"/>
  <c r="D71" i="2"/>
  <c r="D33" i="2"/>
  <c r="H38" i="2"/>
  <c r="D32" i="2"/>
  <c r="D97" i="2"/>
  <c r="D82" i="2"/>
  <c r="D31" i="2" l="1"/>
  <c r="D38" i="2"/>
  <c r="D13" i="2"/>
  <c r="D7" i="2"/>
  <c r="G5" i="2"/>
  <c r="G5" i="4" s="1"/>
  <c r="D27" i="2"/>
  <c r="D57" i="2"/>
  <c r="G102" i="2"/>
  <c r="I75" i="2"/>
  <c r="G90" i="2"/>
  <c r="G11" i="4" s="1"/>
  <c r="H87" i="2"/>
  <c r="D107" i="2"/>
  <c r="D116" i="2" s="1"/>
  <c r="H102" i="2"/>
  <c r="H75" i="2"/>
  <c r="G75" i="2"/>
  <c r="G45" i="2"/>
  <c r="G7" i="4" s="1"/>
  <c r="H105" i="2"/>
  <c r="H13" i="4" s="1"/>
  <c r="I105" i="2"/>
  <c r="I13" i="4" s="1"/>
  <c r="I116" i="2"/>
  <c r="G105" i="2"/>
  <c r="G13" i="4" s="1"/>
  <c r="G116" i="2"/>
  <c r="G78" i="2"/>
  <c r="G9" i="4" s="1"/>
  <c r="D53" i="2"/>
  <c r="I42" i="2"/>
  <c r="D20" i="2"/>
  <c r="D80" i="2"/>
  <c r="D92" i="2"/>
  <c r="H78" i="2"/>
  <c r="H9" i="4" s="1"/>
  <c r="I5" i="2"/>
  <c r="H45" i="2"/>
  <c r="H7" i="4" s="1"/>
  <c r="H90" i="2"/>
  <c r="H11" i="4" s="1"/>
  <c r="D70" i="2"/>
  <c r="G42" i="2"/>
  <c r="D99" i="2"/>
  <c r="H5" i="2"/>
  <c r="H42" i="2"/>
  <c r="H5" i="4" l="1"/>
  <c r="D5" i="2"/>
  <c r="D105" i="2"/>
  <c r="H106" i="2" s="1"/>
  <c r="H14" i="4" s="1"/>
  <c r="D75" i="2"/>
  <c r="D102" i="2"/>
  <c r="D78" i="2"/>
  <c r="H79" i="2" s="1"/>
  <c r="H10" i="4" s="1"/>
  <c r="D87" i="2"/>
  <c r="D45" i="2"/>
  <c r="I117" i="2"/>
  <c r="I15" i="4" s="1"/>
  <c r="I5" i="4"/>
  <c r="G117" i="2"/>
  <c r="G15" i="4" s="1"/>
  <c r="H117" i="2"/>
  <c r="H15" i="4" s="1"/>
  <c r="D42" i="2"/>
  <c r="D90" i="2"/>
  <c r="D13" i="4" l="1"/>
  <c r="I106" i="2"/>
  <c r="I14" i="4" s="1"/>
  <c r="G106" i="2"/>
  <c r="G14" i="4" s="1"/>
  <c r="D9" i="4"/>
  <c r="I79" i="2"/>
  <c r="I10" i="4" s="1"/>
  <c r="G79" i="2"/>
  <c r="G10" i="4" s="1"/>
  <c r="D5" i="4"/>
  <c r="L113" i="2"/>
  <c r="I46" i="2"/>
  <c r="I8" i="4" s="1"/>
  <c r="D7" i="4"/>
  <c r="I91" i="2"/>
  <c r="I12" i="4" s="1"/>
  <c r="D11" i="4"/>
  <c r="D117" i="2"/>
  <c r="D15" i="4" s="1"/>
  <c r="H6" i="2"/>
  <c r="H6" i="4" s="1"/>
  <c r="G6" i="2"/>
  <c r="G6" i="4" s="1"/>
  <c r="I6" i="2"/>
  <c r="I6" i="4" s="1"/>
  <c r="H46" i="2"/>
  <c r="H8" i="4" s="1"/>
  <c r="G91" i="2"/>
  <c r="G12" i="4" s="1"/>
  <c r="H91" i="2"/>
  <c r="H12" i="4" s="1"/>
  <c r="G46" i="2"/>
  <c r="G8" i="4" s="1"/>
  <c r="D19" i="4" l="1"/>
  <c r="D20" i="4" s="1"/>
</calcChain>
</file>

<file path=xl/sharedStrings.xml><?xml version="1.0" encoding="utf-8"?>
<sst xmlns="http://schemas.openxmlformats.org/spreadsheetml/2006/main" count="303" uniqueCount="239">
  <si>
    <t>Year 1</t>
  </si>
  <si>
    <t>Horizons</t>
  </si>
  <si>
    <t>Budget (USD)</t>
  </si>
  <si>
    <t>2.1.1</t>
  </si>
  <si>
    <t>3.1.1</t>
  </si>
  <si>
    <t>Guinée</t>
  </si>
  <si>
    <t>Coliba-Korubal</t>
  </si>
  <si>
    <t>Gambie</t>
  </si>
  <si>
    <t>USD</t>
  </si>
  <si>
    <t>Euros</t>
  </si>
  <si>
    <t>Sénégal</t>
  </si>
  <si>
    <t>Kayamba-Geba</t>
  </si>
  <si>
    <t>USD/ha</t>
  </si>
  <si>
    <t>Projet d’appui aux filières arboricoles</t>
  </si>
  <si>
    <t>Axe stratégique 5 - Recherche, acquisition, collecte et traitement des données, et diffusion de la connaissance</t>
  </si>
  <si>
    <t>Measure  1.1.1</t>
  </si>
  <si>
    <t>Measure  1.1.2</t>
  </si>
  <si>
    <t>Measure  1.1.3</t>
  </si>
  <si>
    <t>Measure  1.1.4</t>
  </si>
  <si>
    <t>Measure  1.1.5</t>
  </si>
  <si>
    <t>Measure  1.2.1</t>
  </si>
  <si>
    <t>Measure  1.2.2</t>
  </si>
  <si>
    <t>Measure  1.2.3</t>
  </si>
  <si>
    <t>Measure  1.2.4</t>
  </si>
  <si>
    <t>Measure  1.2.5</t>
  </si>
  <si>
    <t>Measure  1.2.6</t>
  </si>
  <si>
    <t>Measure  1.3.1</t>
  </si>
  <si>
    <t>Measure  1.3.2</t>
  </si>
  <si>
    <t>Measure  1.3.3</t>
  </si>
  <si>
    <t>Measure  1.3.4</t>
  </si>
  <si>
    <t>Measure  1.3.5</t>
  </si>
  <si>
    <t>Measure  1.3.6</t>
  </si>
  <si>
    <t>Measure  1.4.1</t>
  </si>
  <si>
    <t>Measure  1.4.2</t>
  </si>
  <si>
    <t>Measure  1.4.3</t>
  </si>
  <si>
    <t>Measure  1.5.1</t>
  </si>
  <si>
    <t>Measure  1.5.2</t>
  </si>
  <si>
    <t>Measure  1.5.3</t>
  </si>
  <si>
    <t>Measure  1.5.4</t>
  </si>
  <si>
    <t>Measure  1.5.5</t>
  </si>
  <si>
    <t>Measure  1.5.6</t>
  </si>
  <si>
    <t>Measure  1.6.1</t>
  </si>
  <si>
    <t>Measure  1.6.2</t>
  </si>
  <si>
    <t>Measure  1.6.3</t>
  </si>
  <si>
    <t>Measure 2.1.1</t>
  </si>
  <si>
    <t>Measure 2.1.2</t>
  </si>
  <si>
    <t>Measure 2.1.3</t>
  </si>
  <si>
    <t>Measure 2.1.4</t>
  </si>
  <si>
    <t>Measure 2.1.5</t>
  </si>
  <si>
    <t>Measure 2.2.1</t>
  </si>
  <si>
    <t>Measure 2.2.2</t>
  </si>
  <si>
    <t>Measure 2.2.3</t>
  </si>
  <si>
    <t>Measure 2.3.1</t>
  </si>
  <si>
    <t>Measure 2.3.2</t>
  </si>
  <si>
    <t>Measure 2.3.3</t>
  </si>
  <si>
    <t>Measure 2.3.4</t>
  </si>
  <si>
    <t>Measure 2.3.5</t>
  </si>
  <si>
    <t>Measure 2.3.6</t>
  </si>
  <si>
    <t>Measure 2.3.7</t>
  </si>
  <si>
    <t>Measure 2.3.8</t>
  </si>
  <si>
    <t>Measure 2.3.9</t>
  </si>
  <si>
    <t>Measure 2.3.10</t>
  </si>
  <si>
    <t>Measure 2.3.11</t>
  </si>
  <si>
    <t>Measure 2.3.12</t>
  </si>
  <si>
    <t>Measure 2.4.1</t>
  </si>
  <si>
    <t>Measure 2.4.2</t>
  </si>
  <si>
    <t>Measure 2.4.3</t>
  </si>
  <si>
    <t>Measure 2.4.4</t>
  </si>
  <si>
    <t>Measure 3.1.1</t>
  </si>
  <si>
    <t>Measure 3.1.2</t>
  </si>
  <si>
    <t>Measure 3.1.3</t>
  </si>
  <si>
    <t>Measure 3.2.1</t>
  </si>
  <si>
    <t>Measure 3.2.2</t>
  </si>
  <si>
    <t>Measure 4.1.1</t>
  </si>
  <si>
    <t>Measure 4.1.2</t>
  </si>
  <si>
    <t>Measure 4.1.3</t>
  </si>
  <si>
    <t>Measure 4.1.4</t>
  </si>
  <si>
    <t>Measure 4.1.5</t>
  </si>
  <si>
    <t>Measure 4.1.6</t>
  </si>
  <si>
    <t>Measure 4.2.1</t>
  </si>
  <si>
    <t>Measure 4.2.2</t>
  </si>
  <si>
    <t>Measure 5.1.1</t>
  </si>
  <si>
    <t>Measure 5.1.2</t>
  </si>
  <si>
    <t>Measure 5.1.3</t>
  </si>
  <si>
    <t>Measure 5.1.4</t>
  </si>
  <si>
    <t>Measure 5.1.5</t>
  </si>
  <si>
    <t>Measure 5.1.6</t>
  </si>
  <si>
    <t>Measure 5.2.1</t>
  </si>
  <si>
    <t>Activities</t>
  </si>
  <si>
    <t>Strategic axis 1</t>
  </si>
  <si>
    <t>TOTAL Strategic axis 1</t>
  </si>
  <si>
    <t>Strategic axis 2</t>
  </si>
  <si>
    <t>TOTAL Strategic axis 2</t>
  </si>
  <si>
    <t>Strategic axis 3</t>
  </si>
  <si>
    <t>TOTAL Strategic axis 3</t>
  </si>
  <si>
    <t>Strategic axis 4</t>
  </si>
  <si>
    <t>TOTAL Strategic axis 4</t>
  </si>
  <si>
    <t>Strategic axis 5</t>
  </si>
  <si>
    <t>TOTAL Strategic axis 5</t>
  </si>
  <si>
    <t>Provision 1.1</t>
  </si>
  <si>
    <t>Provision 1.2</t>
  </si>
  <si>
    <t>Provision 1.3</t>
  </si>
  <si>
    <t>Provision 1.4</t>
  </si>
  <si>
    <t>Provision 1.5</t>
  </si>
  <si>
    <t>Provision 1.6</t>
  </si>
  <si>
    <t>Provision 2.1</t>
  </si>
  <si>
    <t>Provision 2.2</t>
  </si>
  <si>
    <t>Provision 2.3</t>
  </si>
  <si>
    <t>Provision 2.4</t>
  </si>
  <si>
    <t>Provision 3.1</t>
  </si>
  <si>
    <t>Provision 3.2</t>
  </si>
  <si>
    <t>Provision 4.1</t>
  </si>
  <si>
    <t>Provision 4.2</t>
  </si>
  <si>
    <t>Provision 5.1</t>
  </si>
  <si>
    <t>Provision 5.2</t>
  </si>
  <si>
    <t>Details</t>
  </si>
  <si>
    <t>Sectoral Plan Agriculture - Livestock - Forestry - Fisheries</t>
  </si>
  <si>
    <t>Strategic Axis, Provisions, and Measures</t>
  </si>
  <si>
    <t>Programme of measures</t>
  </si>
  <si>
    <t xml:space="preserve">Programme Overall Budget </t>
  </si>
  <si>
    <t>Ensure food self-sufficiency through more sustainable agricultural and livestock production</t>
  </si>
  <si>
    <t>Improving people's income and reducing poverty</t>
  </si>
  <si>
    <t>Protection and enhancement of the environment and contribution to climate change mitigation and adaptation</t>
  </si>
  <si>
    <t>Strengthening the legal and legislative framework</t>
  </si>
  <si>
    <t>Research, acquisition, collection and processing of data and dissemination of knowledge</t>
  </si>
  <si>
    <t>Increased and sustainable agricultural production and productivity</t>
  </si>
  <si>
    <t>Building a productive and resilient agri-food system (P173070)</t>
  </si>
  <si>
    <t>Develop mangrove agriculture (PRO-GB)</t>
  </si>
  <si>
    <t>Project to support the improvement of resilience in mangrove rice production in The Gambia</t>
  </si>
  <si>
    <t>Improving agricultural production and productivity</t>
  </si>
  <si>
    <t>Rice cultivation development</t>
  </si>
  <si>
    <t>Increase in irrigated land / increase in irrigated crops</t>
  </si>
  <si>
    <t>Infrastructure development and management (ROOTS)</t>
  </si>
  <si>
    <t>Realisation/rehabilitation of facilities and infrastructure management (SODAGRI)</t>
  </si>
  <si>
    <t>Realisation/rehabilitation of hydro-agricultural schemes in Guinea Bissau in the OMVG area (16,100 ha)</t>
  </si>
  <si>
    <t>Construction of the Camposa hydro-agricultural scheme (2000 ha), in Guinea-Bissau, on the Géba River.</t>
  </si>
  <si>
    <t>Development and expansion of hydro-agricultural schemes in Guinea in the OMVG area</t>
  </si>
  <si>
    <t>Expansion of irrigated agriculture in The Gambia and Senegal in the OMVG area</t>
  </si>
  <si>
    <t>Increased production and diversification of livestock</t>
  </si>
  <si>
    <t>Health protection of livestock in the OMVG area</t>
  </si>
  <si>
    <t>Regional research programme on genetic improvement is developed and implemented in the OMVG area</t>
  </si>
  <si>
    <t>Special artificial insemination programme to improve national milk production</t>
  </si>
  <si>
    <t>Programme for the development of pastoral hydraulic infrastructure and management of agro-sylvo-pastoral spaces and resources and improvement of cross-border transhumance.</t>
  </si>
  <si>
    <t>Diversification of livestock forms through the promotion of poultry farming, small ruminant farming, beekeeping, etc.</t>
  </si>
  <si>
    <t>Intensified livestock systems (improved management through intensification in peri-urban areas.</t>
  </si>
  <si>
    <t>Development of agro-forestry food products</t>
  </si>
  <si>
    <t>Programme to improve techniques for collecting and valorising non-timber forest products (NTFPs).</t>
  </si>
  <si>
    <t>Technical, managerial and organisational capacity building programme for Non Timber Forest Products (NTFP) institutions and stakeholders.</t>
  </si>
  <si>
    <t>Project to increase forest resources in the three OMVG catchment areas</t>
  </si>
  <si>
    <t>Promotion of fisheries production sectors</t>
  </si>
  <si>
    <t>Inland fisheries and inland waterways management programme</t>
  </si>
  <si>
    <t>Programme to strengthen the technical, managerial and organisational capacities of institutions and actors</t>
  </si>
  <si>
    <t>Monitoring, Control and Surveillance Programme for Fisheries Activities</t>
  </si>
  <si>
    <t>Capacity building programme for professional organisations and consultation bodies</t>
  </si>
  <si>
    <t>Strengthening cooperation in fisheries and aquaculture</t>
  </si>
  <si>
    <t>Improving the production of inland fisheries resources in the OMVG catchment areas</t>
  </si>
  <si>
    <t>Planning and coordinating the provision of agricultural extension and training services</t>
  </si>
  <si>
    <t>Provision of agricultural services (ROOTS)</t>
  </si>
  <si>
    <t>Organisational functioning and management (SODAGRI's strategic plan)</t>
  </si>
  <si>
    <t>Capacity building programme for commodity groups and consultation bodies</t>
  </si>
  <si>
    <t>Measure 1.2.1</t>
  </si>
  <si>
    <t>Measure 1.2.2</t>
  </si>
  <si>
    <t>Measure 1.2.3</t>
  </si>
  <si>
    <t>Measure 1.2.4</t>
  </si>
  <si>
    <t>Measure 1.2.5</t>
  </si>
  <si>
    <t>Measure 1.2.6</t>
  </si>
  <si>
    <t>Measure 1.3.1</t>
  </si>
  <si>
    <t>Measure 1.3.2</t>
  </si>
  <si>
    <t>Measure 1.3.3</t>
  </si>
  <si>
    <t>Measure 1.3.4</t>
  </si>
  <si>
    <t>Measure 1.3.5</t>
  </si>
  <si>
    <t>Measure 1.3.6</t>
  </si>
  <si>
    <t>Measure 1.4.1</t>
  </si>
  <si>
    <t>Measure 1.4.2</t>
  </si>
  <si>
    <t>Measure 1.4.3</t>
  </si>
  <si>
    <t>Measure 1.5.1</t>
  </si>
  <si>
    <t>Measure 1.5.2</t>
  </si>
  <si>
    <t>Measure 1.5.3</t>
  </si>
  <si>
    <t>Measure 1.5.4</t>
  </si>
  <si>
    <t>Measure 1.5.5</t>
  </si>
  <si>
    <t>Measure 1.6.1</t>
  </si>
  <si>
    <t>Measure 1.6.2</t>
  </si>
  <si>
    <t>Measure 1.6.3</t>
  </si>
  <si>
    <t>Measure 4.4.1</t>
  </si>
  <si>
    <t>Measure 4.4.2</t>
  </si>
  <si>
    <t>Supporting the resilience of poor households to climate shocks (SODAGRI's strategic plan)</t>
  </si>
  <si>
    <t>Contribution to poverty reduction</t>
  </si>
  <si>
    <t>Support for fisheries in the Gambia, Kayanga/Geba and Koliba/Corubal river basins</t>
  </si>
  <si>
    <t>Gaoual-Koundara-Mali Integrated Rural Development Project (PDRI-GKM)</t>
  </si>
  <si>
    <t>Development of small areas for market gardening</t>
  </si>
  <si>
    <t>Non-timber forest products (NTFP) development project in OMVG watersheds</t>
  </si>
  <si>
    <t>Structuring of producer organisations</t>
  </si>
  <si>
    <t>Improving the business environment for commercial agricultural development (GIRAV)</t>
  </si>
  <si>
    <t>Promote the development of commercial agriculture (P164184)</t>
  </si>
  <si>
    <t>Institutional support and strengthening of agricultural services project</t>
  </si>
  <si>
    <t>Development of value chains, improvement of market access and revival of women's activities</t>
  </si>
  <si>
    <t>Market access (ROOTS)</t>
  </si>
  <si>
    <t>Value chain development (SODAGRI's strategic plan)</t>
  </si>
  <si>
    <t>Improving market access (P164184)</t>
  </si>
  <si>
    <t>Supporting private investment (P164184)</t>
  </si>
  <si>
    <t>Rice processing, preservation and marketing (PRO-GB)</t>
  </si>
  <si>
    <t>Fruit and vegetable value-adding programme</t>
  </si>
  <si>
    <t>In-country NTFP distribution and marketing system improvement programme</t>
  </si>
  <si>
    <t>In-country fish distribution and marketing system improvement programme</t>
  </si>
  <si>
    <t>Project for the diversification of family agriculture, integrated markets and nutrition in the face of climate change in Guinea Bissau (REDE)</t>
  </si>
  <si>
    <t>Promotion of agricultural and agro-industrial sectors</t>
  </si>
  <si>
    <t>Market access and development of animal product chains.</t>
  </si>
  <si>
    <t>Development of financial services</t>
  </si>
  <si>
    <t>Mobilising productive private investment along value chains (GIRAV)</t>
  </si>
  <si>
    <t>Strengthening the financing system for forestry economic activities</t>
  </si>
  <si>
    <t>Setting up an agricultural insurance system</t>
  </si>
  <si>
    <t>Strengthening the financing system for inland fisheries and aquaculture</t>
  </si>
  <si>
    <t>Preserve the quality of natural resources and optimise their management</t>
  </si>
  <si>
    <t>Designing and promoting integrated resource management systems</t>
  </si>
  <si>
    <t>Sustainable Land Management Programme</t>
  </si>
  <si>
    <t xml:space="preserve">Support for local government development and natural resource management (SODAGRI's strategic plan) </t>
  </si>
  <si>
    <t>Protected areas biodiversity monitoring, control and surveillance programme</t>
  </si>
  <si>
    <t>Monitoring, control and surveillance programme for forestry resource development activities in and around the Gambia, Kayanga/Géba and Koliba/Corubal river basins</t>
  </si>
  <si>
    <t>Fisheries Monitoring, Control and Surveillance Programme in the Gambia, Kayanga/Géba and Koliba/Corubal river basins</t>
  </si>
  <si>
    <t>Strengthening the legal framework for agroforestry</t>
  </si>
  <si>
    <t>Development and/or revision of the regulatory and legal framework for water users' cooperatives and associations.</t>
  </si>
  <si>
    <t>Development and/or revision of the legislative framework for agricultural water pricing policy.</t>
  </si>
  <si>
    <t>Development and/or revision of the legal framework for public-private partnerships (PPPs) in agriculture.</t>
  </si>
  <si>
    <t>Elaboration and/or revision of the regulatory and legal framework for the exploitation of forest resources in and around the Gambia, Kayanga/Geba and Koliba/Corubal river basins.</t>
  </si>
  <si>
    <t>Training and capacity building of members of forestry groups for the proper application of the texts regulating and providing a legal framework for the sustainable exploitation of forestry resources in and around the Gambia, Kayanga/Geba and Koliba/Corubal river basins</t>
  </si>
  <si>
    <t>Project on land tenure security in the Gambia, Kayanga/Geba and Koliba/Corubal river basins.</t>
  </si>
  <si>
    <t>Strengthening the legal framework for fisheries and aquaculture production</t>
  </si>
  <si>
    <t>Elaboration and/or revision of the regulatory and legal framework for the exploitation of inland fisheries resources and aquaculture in the Gambia, Kayanga/Geba and Koliba/Corubal river basins</t>
  </si>
  <si>
    <t>Training and capacity building of fisheries managers for a proper application of the texts regulating and legally framing the sustainable exploitation of fisheries resources and aquaculture in the basins of the Gambia, Kayanga/Geba and Koliba/Corubal rivers.</t>
  </si>
  <si>
    <t>Research and training</t>
  </si>
  <si>
    <t>Knowledge management and resource monitoring</t>
  </si>
  <si>
    <t>Capacity building programme in the agricultural sector to help the sector structure itself</t>
  </si>
  <si>
    <t>Technical cooperation programme with FAO, CILSS, ECOWAS, etc.</t>
  </si>
  <si>
    <t>Research programme on NTFP collection, packaging and processing techniques</t>
  </si>
  <si>
    <t>Inland Fisheries and Aquaculture Research Programme.</t>
  </si>
  <si>
    <t>Technical cooperation programme with FAO, Worldfish, Sub-Regional Fisheries Commission, ECOWAS, etc.</t>
  </si>
  <si>
    <t>Capacity building programme for Administration and Research.</t>
  </si>
  <si>
    <t>Programme to develop agricultural research, training and extension</t>
  </si>
  <si>
    <t>Programme Overall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</si>
</sst>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\ _€_-;\-* #,##0\ _€_-;_-* &quot;-&quot;\ _€_-;_-@_-"/>
    <numFmt numFmtId="43" formatCode="_-* #,##0.00\ _€_-;\-* #,##0.00\ _€_-;_-* &quot;-&quot;??\ _€_-;_-@_-"/>
    <numFmt numFmtId="164" formatCode="_-* #,##0\ _€_-;\-* #,##0\ _€_-;_-* &quot;-&quot;??\ _€_-;_-@_-"/>
    <numFmt numFmtId="165" formatCode="0.0%"/>
  </numFmts>
  <fonts count="16" x14ac:knownFonts="1">
    <font>
      <sz val="11"/>
      <color theme="1"/>
      <name val="Arial"/>
      <family val="2"/>
    </font>
    <font>
      <sz val="10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sz val="9"/>
      <color rgb="FFFF0000"/>
      <name val="Arial"/>
      <family val="2"/>
    </font>
    <font>
      <i/>
      <sz val="9"/>
      <color rgb="FFFF0000"/>
      <name val="Arial"/>
      <family val="2"/>
    </font>
    <font>
      <sz val="8"/>
      <name val="Arial"/>
      <family val="2"/>
    </font>
    <font>
      <b/>
      <sz val="11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lightUp">
        <bgColor theme="6" tint="0.39997558519241921"/>
      </patternFill>
    </fill>
    <fill>
      <patternFill patternType="solid">
        <fgColor theme="6" tint="0.59999389629810485"/>
        <bgColor indexed="64"/>
      </patternFill>
    </fill>
    <fill>
      <patternFill patternType="lightUp">
        <bgColor theme="6" tint="0.59999389629810485"/>
      </patternFill>
    </fill>
    <fill>
      <patternFill patternType="solid">
        <fgColor rgb="FFD9E5BC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lightUp">
        <bgColor theme="7" tint="0.39997558519241921"/>
      </patternFill>
    </fill>
    <fill>
      <patternFill patternType="solid">
        <fgColor theme="7" tint="0.59999389629810485"/>
        <bgColor indexed="64"/>
      </patternFill>
    </fill>
    <fill>
      <patternFill patternType="lightUp">
        <bgColor theme="7" tint="0.59999389629810485"/>
      </patternFill>
    </fill>
    <fill>
      <patternFill patternType="solid">
        <fgColor rgb="FFCCC0DA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lightUp">
        <bgColor theme="4" tint="0.39997558519241921"/>
      </patternFill>
    </fill>
    <fill>
      <patternFill patternType="solid">
        <fgColor theme="4" tint="0.59999389629810485"/>
        <bgColor indexed="64"/>
      </patternFill>
    </fill>
    <fill>
      <patternFill patternType="lightUp">
        <bgColor theme="4" tint="0.59999389629810485"/>
      </patternFill>
    </fill>
    <fill>
      <patternFill patternType="solid">
        <fgColor rgb="FFB8CCE4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rgb="FFFCE4D6"/>
        <bgColor indexed="64"/>
      </patternFill>
    </fill>
    <fill>
      <patternFill patternType="lightUp">
        <bgColor rgb="FFA9D08E"/>
      </patternFill>
    </fill>
    <fill>
      <patternFill patternType="lightUp">
        <bgColor rgb="FFC6E0B4"/>
      </patternFill>
    </fill>
    <fill>
      <patternFill patternType="lightUp">
        <bgColor rgb="FFF8CBAD"/>
      </patternFill>
    </fill>
    <fill>
      <patternFill patternType="lightUp">
        <bgColor rgb="FFFCE4D6"/>
      </patternFill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9" tint="0.79998168889431442"/>
        <bgColor indexed="64"/>
      </patternFill>
    </fill>
  </fills>
  <borders count="9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hair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dashed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dashed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dashed">
        <color indexed="64"/>
      </right>
      <top style="hair">
        <color indexed="64"/>
      </top>
      <bottom/>
      <diagonal/>
    </border>
    <border>
      <left style="dashed">
        <color indexed="64"/>
      </left>
      <right style="dashed">
        <color indexed="64"/>
      </right>
      <top style="hair">
        <color indexed="64"/>
      </top>
      <bottom/>
      <diagonal/>
    </border>
    <border>
      <left style="dashed">
        <color indexed="64"/>
      </left>
      <right style="thin">
        <color indexed="64"/>
      </right>
      <top style="hair">
        <color indexed="64"/>
      </top>
      <bottom/>
      <diagonal/>
    </border>
    <border>
      <left style="dashed">
        <color indexed="64"/>
      </left>
      <right style="medium">
        <color indexed="64"/>
      </right>
      <top style="hair">
        <color indexed="64"/>
      </top>
      <bottom/>
      <diagonal/>
    </border>
    <border>
      <left style="dashed">
        <color indexed="64"/>
      </left>
      <right/>
      <top style="hair">
        <color indexed="64"/>
      </top>
      <bottom/>
      <diagonal/>
    </border>
    <border>
      <left/>
      <right style="dashed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dashed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hair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dashed">
        <color indexed="64"/>
      </right>
      <top style="hair">
        <color indexed="64"/>
      </top>
      <bottom style="medium">
        <color indexed="64"/>
      </bottom>
      <diagonal/>
    </border>
    <border>
      <left style="dashed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medium">
        <color indexed="64"/>
      </right>
      <top/>
      <bottom/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" fillId="0" borderId="0"/>
  </cellStyleXfs>
  <cellXfs count="452">
    <xf numFmtId="0" fontId="0" fillId="0" borderId="0" xfId="0"/>
    <xf numFmtId="0" fontId="1" fillId="0" borderId="0" xfId="3" applyFont="1"/>
    <xf numFmtId="0" fontId="2" fillId="0" borderId="0" xfId="3" applyFont="1" applyFill="1" applyBorder="1" applyAlignment="1">
      <alignment horizontal="center" vertical="center" wrapText="1"/>
    </xf>
    <xf numFmtId="0" fontId="3" fillId="0" borderId="0" xfId="3" applyFont="1"/>
    <xf numFmtId="0" fontId="4" fillId="2" borderId="0" xfId="3" applyFont="1" applyFill="1" applyBorder="1" applyAlignment="1">
      <alignment horizontal="center" vertical="center" wrapText="1"/>
    </xf>
    <xf numFmtId="0" fontId="1" fillId="0" borderId="1" xfId="3" applyBorder="1"/>
    <xf numFmtId="0" fontId="1" fillId="0" borderId="0" xfId="3"/>
    <xf numFmtId="0" fontId="4" fillId="3" borderId="14" xfId="3" applyFont="1" applyFill="1" applyBorder="1" applyAlignment="1">
      <alignment horizontal="center" vertical="center" wrapText="1"/>
    </xf>
    <xf numFmtId="0" fontId="4" fillId="3" borderId="15" xfId="3" applyFont="1" applyFill="1" applyBorder="1" applyAlignment="1">
      <alignment horizontal="center" vertical="center" wrapText="1"/>
    </xf>
    <xf numFmtId="0" fontId="4" fillId="3" borderId="16" xfId="3" applyFont="1" applyFill="1" applyBorder="1" applyAlignment="1">
      <alignment horizontal="center" vertical="center" wrapText="1"/>
    </xf>
    <xf numFmtId="0" fontId="3" fillId="5" borderId="18" xfId="3" applyFont="1" applyFill="1" applyBorder="1" applyAlignment="1">
      <alignment horizontal="center" vertical="center" wrapText="1"/>
    </xf>
    <xf numFmtId="0" fontId="3" fillId="5" borderId="19" xfId="3" applyFont="1" applyFill="1" applyBorder="1" applyAlignment="1">
      <alignment horizontal="center" vertical="center" wrapText="1"/>
    </xf>
    <xf numFmtId="0" fontId="3" fillId="5" borderId="20" xfId="3" applyFont="1" applyFill="1" applyBorder="1" applyAlignment="1">
      <alignment horizontal="center" vertical="center" wrapText="1"/>
    </xf>
    <xf numFmtId="0" fontId="3" fillId="5" borderId="21" xfId="3" applyFont="1" applyFill="1" applyBorder="1" applyAlignment="1">
      <alignment horizontal="center" vertical="center" wrapText="1"/>
    </xf>
    <xf numFmtId="0" fontId="3" fillId="5" borderId="22" xfId="3" applyFont="1" applyFill="1" applyBorder="1" applyAlignment="1">
      <alignment horizontal="center" vertical="center" wrapText="1"/>
    </xf>
    <xf numFmtId="0" fontId="3" fillId="7" borderId="26" xfId="3" applyFont="1" applyFill="1" applyBorder="1" applyAlignment="1">
      <alignment horizontal="center" vertical="center" wrapText="1"/>
    </xf>
    <xf numFmtId="0" fontId="3" fillId="7" borderId="27" xfId="3" applyFont="1" applyFill="1" applyBorder="1" applyAlignment="1">
      <alignment horizontal="center" vertical="center" wrapText="1"/>
    </xf>
    <xf numFmtId="0" fontId="3" fillId="7" borderId="28" xfId="3" applyFont="1" applyFill="1" applyBorder="1" applyAlignment="1">
      <alignment horizontal="center" vertical="center" wrapText="1"/>
    </xf>
    <xf numFmtId="0" fontId="3" fillId="7" borderId="29" xfId="3" applyFont="1" applyFill="1" applyBorder="1" applyAlignment="1">
      <alignment horizontal="center" vertical="center" wrapText="1"/>
    </xf>
    <xf numFmtId="0" fontId="3" fillId="7" borderId="30" xfId="3" applyFont="1" applyFill="1" applyBorder="1" applyAlignment="1">
      <alignment horizontal="center" vertical="center" wrapText="1"/>
    </xf>
    <xf numFmtId="0" fontId="3" fillId="7" borderId="31" xfId="3" applyFont="1" applyFill="1" applyBorder="1" applyAlignment="1">
      <alignment horizontal="center" vertical="center" wrapText="1"/>
    </xf>
    <xf numFmtId="0" fontId="3" fillId="7" borderId="32" xfId="3" applyFont="1" applyFill="1" applyBorder="1" applyAlignment="1">
      <alignment horizontal="center" vertical="center" wrapText="1"/>
    </xf>
    <xf numFmtId="0" fontId="3" fillId="0" borderId="38" xfId="3" applyFont="1" applyFill="1" applyBorder="1" applyAlignment="1">
      <alignment vertical="center" wrapText="1"/>
    </xf>
    <xf numFmtId="0" fontId="3" fillId="0" borderId="39" xfId="3" applyFont="1" applyFill="1" applyBorder="1" applyAlignment="1">
      <alignment vertical="center" wrapText="1"/>
    </xf>
    <xf numFmtId="0" fontId="3" fillId="0" borderId="40" xfId="3" applyFont="1" applyBorder="1" applyAlignment="1">
      <alignment horizontal="left" vertical="center" wrapText="1"/>
    </xf>
    <xf numFmtId="0" fontId="3" fillId="8" borderId="41" xfId="3" applyFont="1" applyFill="1" applyBorder="1" applyAlignment="1">
      <alignment horizontal="center" vertical="center" wrapText="1"/>
    </xf>
    <xf numFmtId="0" fontId="3" fillId="8" borderId="42" xfId="3" applyFont="1" applyFill="1" applyBorder="1" applyAlignment="1">
      <alignment horizontal="center" vertical="center" wrapText="1"/>
    </xf>
    <xf numFmtId="0" fontId="3" fillId="0" borderId="42" xfId="3" applyFont="1" applyFill="1" applyBorder="1" applyAlignment="1">
      <alignment horizontal="center" vertical="center" wrapText="1"/>
    </xf>
    <xf numFmtId="0" fontId="3" fillId="0" borderId="43" xfId="3" applyFont="1" applyFill="1" applyBorder="1" applyAlignment="1">
      <alignment horizontal="center" vertical="center" wrapText="1"/>
    </xf>
    <xf numFmtId="0" fontId="3" fillId="0" borderId="41" xfId="3" applyFont="1" applyFill="1" applyBorder="1" applyAlignment="1">
      <alignment horizontal="center" vertical="center" wrapText="1"/>
    </xf>
    <xf numFmtId="0" fontId="3" fillId="0" borderId="44" xfId="3" applyFont="1" applyFill="1" applyBorder="1" applyAlignment="1">
      <alignment horizontal="center" vertical="center" wrapText="1"/>
    </xf>
    <xf numFmtId="0" fontId="3" fillId="8" borderId="34" xfId="3" applyFont="1" applyFill="1" applyBorder="1" applyAlignment="1">
      <alignment horizontal="center" vertical="center" wrapText="1"/>
    </xf>
    <xf numFmtId="0" fontId="3" fillId="0" borderId="45" xfId="3" applyFont="1" applyFill="1" applyBorder="1" applyAlignment="1">
      <alignment horizontal="center" vertical="center" wrapText="1"/>
    </xf>
    <xf numFmtId="0" fontId="3" fillId="8" borderId="45" xfId="3" applyFont="1" applyFill="1" applyBorder="1" applyAlignment="1">
      <alignment horizontal="center" vertical="center" wrapText="1"/>
    </xf>
    <xf numFmtId="0" fontId="3" fillId="8" borderId="33" xfId="3" applyFont="1" applyFill="1" applyBorder="1" applyAlignment="1">
      <alignment horizontal="center" vertical="center" wrapText="1"/>
    </xf>
    <xf numFmtId="0" fontId="3" fillId="8" borderId="44" xfId="3" applyFont="1" applyFill="1" applyBorder="1" applyAlignment="1">
      <alignment horizontal="center" vertical="center" wrapText="1"/>
    </xf>
    <xf numFmtId="0" fontId="3" fillId="0" borderId="7" xfId="3" applyFont="1" applyFill="1" applyBorder="1" applyAlignment="1">
      <alignment vertical="center" wrapText="1"/>
    </xf>
    <xf numFmtId="0" fontId="3" fillId="0" borderId="47" xfId="3" applyFont="1" applyFill="1" applyBorder="1" applyAlignment="1">
      <alignment vertical="center" wrapText="1"/>
    </xf>
    <xf numFmtId="0" fontId="3" fillId="2" borderId="41" xfId="3" applyFont="1" applyFill="1" applyBorder="1" applyAlignment="1">
      <alignment horizontal="center" vertical="center" wrapText="1"/>
    </xf>
    <xf numFmtId="0" fontId="3" fillId="2" borderId="44" xfId="3" applyFont="1" applyFill="1" applyBorder="1" applyAlignment="1">
      <alignment horizontal="center" vertical="center" wrapText="1"/>
    </xf>
    <xf numFmtId="0" fontId="3" fillId="0" borderId="46" xfId="3" applyFont="1" applyFill="1" applyBorder="1" applyAlignment="1">
      <alignment horizontal="center" vertical="center" wrapText="1"/>
    </xf>
    <xf numFmtId="0" fontId="3" fillId="2" borderId="42" xfId="3" applyFont="1" applyFill="1" applyBorder="1" applyAlignment="1">
      <alignment horizontal="center" vertical="center" wrapText="1"/>
    </xf>
    <xf numFmtId="0" fontId="3" fillId="8" borderId="35" xfId="3" applyFont="1" applyFill="1" applyBorder="1" applyAlignment="1">
      <alignment horizontal="center" vertical="center" wrapText="1"/>
    </xf>
    <xf numFmtId="0" fontId="3" fillId="2" borderId="34" xfId="3" applyFont="1" applyFill="1" applyBorder="1" applyAlignment="1">
      <alignment horizontal="center" vertical="center" wrapText="1"/>
    </xf>
    <xf numFmtId="0" fontId="3" fillId="2" borderId="46" xfId="3" applyFont="1" applyFill="1" applyBorder="1" applyAlignment="1">
      <alignment horizontal="center" vertical="center" wrapText="1"/>
    </xf>
    <xf numFmtId="0" fontId="3" fillId="8" borderId="43" xfId="3" applyFont="1" applyFill="1" applyBorder="1" applyAlignment="1">
      <alignment horizontal="center" vertical="center" wrapText="1"/>
    </xf>
    <xf numFmtId="0" fontId="3" fillId="2" borderId="36" xfId="3" applyFont="1" applyFill="1" applyBorder="1" applyAlignment="1">
      <alignment horizontal="center" vertical="center" wrapText="1"/>
    </xf>
    <xf numFmtId="0" fontId="3" fillId="0" borderId="34" xfId="3" applyFont="1" applyFill="1" applyBorder="1" applyAlignment="1">
      <alignment horizontal="center" vertical="center" wrapText="1"/>
    </xf>
    <xf numFmtId="0" fontId="3" fillId="0" borderId="35" xfId="3" applyFont="1" applyFill="1" applyBorder="1" applyAlignment="1">
      <alignment horizontal="center" vertical="center" wrapText="1"/>
    </xf>
    <xf numFmtId="0" fontId="3" fillId="2" borderId="35" xfId="3" applyFont="1" applyFill="1" applyBorder="1" applyAlignment="1">
      <alignment horizontal="center" vertical="center" wrapText="1"/>
    </xf>
    <xf numFmtId="0" fontId="3" fillId="10" borderId="18" xfId="3" applyFont="1" applyFill="1" applyBorder="1" applyAlignment="1">
      <alignment horizontal="center" vertical="center" wrapText="1"/>
    </xf>
    <xf numFmtId="0" fontId="3" fillId="10" borderId="19" xfId="3" applyFont="1" applyFill="1" applyBorder="1" applyAlignment="1">
      <alignment horizontal="center" vertical="center" wrapText="1"/>
    </xf>
    <xf numFmtId="0" fontId="3" fillId="10" borderId="20" xfId="3" applyFont="1" applyFill="1" applyBorder="1" applyAlignment="1">
      <alignment horizontal="center" vertical="center" wrapText="1"/>
    </xf>
    <xf numFmtId="0" fontId="3" fillId="10" borderId="21" xfId="3" applyFont="1" applyFill="1" applyBorder="1" applyAlignment="1">
      <alignment horizontal="center" vertical="center" wrapText="1"/>
    </xf>
    <xf numFmtId="0" fontId="3" fillId="10" borderId="22" xfId="3" applyFont="1" applyFill="1" applyBorder="1" applyAlignment="1">
      <alignment horizontal="center" vertical="center" wrapText="1"/>
    </xf>
    <xf numFmtId="0" fontId="3" fillId="12" borderId="26" xfId="3" applyFont="1" applyFill="1" applyBorder="1" applyAlignment="1">
      <alignment horizontal="center" vertical="center" wrapText="1"/>
    </xf>
    <xf numFmtId="0" fontId="3" fillId="12" borderId="27" xfId="3" applyFont="1" applyFill="1" applyBorder="1" applyAlignment="1">
      <alignment horizontal="center" vertical="center" wrapText="1"/>
    </xf>
    <xf numFmtId="0" fontId="3" fillId="12" borderId="28" xfId="3" applyFont="1" applyFill="1" applyBorder="1" applyAlignment="1">
      <alignment horizontal="center" vertical="center" wrapText="1"/>
    </xf>
    <xf numFmtId="0" fontId="3" fillId="12" borderId="29" xfId="3" applyFont="1" applyFill="1" applyBorder="1" applyAlignment="1">
      <alignment horizontal="center" vertical="center" wrapText="1"/>
    </xf>
    <xf numFmtId="0" fontId="3" fillId="12" borderId="30" xfId="3" applyFont="1" applyFill="1" applyBorder="1" applyAlignment="1">
      <alignment horizontal="center" vertical="center" wrapText="1"/>
    </xf>
    <xf numFmtId="0" fontId="3" fillId="13" borderId="41" xfId="3" applyFont="1" applyFill="1" applyBorder="1" applyAlignment="1">
      <alignment horizontal="center" vertical="center" wrapText="1"/>
    </xf>
    <xf numFmtId="0" fontId="3" fillId="13" borderId="42" xfId="3" applyFont="1" applyFill="1" applyBorder="1" applyAlignment="1">
      <alignment horizontal="center" vertical="center" wrapText="1"/>
    </xf>
    <xf numFmtId="0" fontId="3" fillId="13" borderId="44" xfId="3" applyFont="1" applyFill="1" applyBorder="1" applyAlignment="1">
      <alignment horizontal="center" vertical="center" wrapText="1"/>
    </xf>
    <xf numFmtId="0" fontId="3" fillId="2" borderId="33" xfId="3" applyFont="1" applyFill="1" applyBorder="1" applyAlignment="1">
      <alignment horizontal="center" vertical="center" wrapText="1"/>
    </xf>
    <xf numFmtId="0" fontId="3" fillId="15" borderId="18" xfId="3" applyFont="1" applyFill="1" applyBorder="1" applyAlignment="1">
      <alignment horizontal="center" vertical="center" wrapText="1"/>
    </xf>
    <xf numFmtId="0" fontId="3" fillId="15" borderId="19" xfId="3" applyFont="1" applyFill="1" applyBorder="1" applyAlignment="1">
      <alignment horizontal="center" vertical="center" wrapText="1"/>
    </xf>
    <xf numFmtId="0" fontId="3" fillId="15" borderId="20" xfId="3" applyFont="1" applyFill="1" applyBorder="1" applyAlignment="1">
      <alignment horizontal="center" vertical="center" wrapText="1"/>
    </xf>
    <xf numFmtId="0" fontId="3" fillId="15" borderId="21" xfId="3" applyFont="1" applyFill="1" applyBorder="1" applyAlignment="1">
      <alignment horizontal="center" vertical="center" wrapText="1"/>
    </xf>
    <xf numFmtId="0" fontId="3" fillId="15" borderId="22" xfId="3" applyFont="1" applyFill="1" applyBorder="1" applyAlignment="1">
      <alignment horizontal="center" vertical="center" wrapText="1"/>
    </xf>
    <xf numFmtId="0" fontId="3" fillId="17" borderId="26" xfId="3" applyFont="1" applyFill="1" applyBorder="1" applyAlignment="1">
      <alignment horizontal="center" vertical="center" wrapText="1"/>
    </xf>
    <xf numFmtId="0" fontId="3" fillId="17" borderId="27" xfId="3" applyFont="1" applyFill="1" applyBorder="1" applyAlignment="1">
      <alignment horizontal="center" vertical="center" wrapText="1"/>
    </xf>
    <xf numFmtId="0" fontId="3" fillId="17" borderId="28" xfId="3" applyFont="1" applyFill="1" applyBorder="1" applyAlignment="1">
      <alignment horizontal="center" vertical="center" wrapText="1"/>
    </xf>
    <xf numFmtId="0" fontId="3" fillId="17" borderId="29" xfId="3" applyFont="1" applyFill="1" applyBorder="1" applyAlignment="1">
      <alignment horizontal="center" vertical="center" wrapText="1"/>
    </xf>
    <xf numFmtId="0" fontId="3" fillId="17" borderId="30" xfId="3" applyFont="1" applyFill="1" applyBorder="1" applyAlignment="1">
      <alignment horizontal="center" vertical="center" wrapText="1"/>
    </xf>
    <xf numFmtId="0" fontId="3" fillId="18" borderId="42" xfId="3" applyFont="1" applyFill="1" applyBorder="1" applyAlignment="1">
      <alignment horizontal="center" vertical="center" wrapText="1"/>
    </xf>
    <xf numFmtId="0" fontId="3" fillId="18" borderId="44" xfId="3" applyFont="1" applyFill="1" applyBorder="1" applyAlignment="1">
      <alignment horizontal="center" vertical="center" wrapText="1"/>
    </xf>
    <xf numFmtId="0" fontId="3" fillId="18" borderId="41" xfId="3" applyFont="1" applyFill="1" applyBorder="1" applyAlignment="1">
      <alignment horizontal="center" vertical="center" wrapText="1"/>
    </xf>
    <xf numFmtId="0" fontId="3" fillId="18" borderId="45" xfId="3" applyFont="1" applyFill="1" applyBorder="1" applyAlignment="1">
      <alignment horizontal="center" vertical="center" wrapText="1"/>
    </xf>
    <xf numFmtId="0" fontId="3" fillId="18" borderId="46" xfId="3" applyFont="1" applyFill="1" applyBorder="1" applyAlignment="1">
      <alignment horizontal="center" vertical="center" wrapText="1"/>
    </xf>
    <xf numFmtId="0" fontId="3" fillId="0" borderId="50" xfId="3" applyFont="1" applyBorder="1" applyAlignment="1">
      <alignment horizontal="left" vertical="center" wrapText="1"/>
    </xf>
    <xf numFmtId="0" fontId="1" fillId="0" borderId="0" xfId="3" applyAlignment="1">
      <alignment wrapText="1"/>
    </xf>
    <xf numFmtId="0" fontId="8" fillId="0" borderId="0" xfId="0" applyFon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Fill="1"/>
    <xf numFmtId="164" fontId="8" fillId="0" borderId="0" xfId="1" applyNumberFormat="1" applyFont="1" applyAlignment="1">
      <alignment horizontal="center" vertical="center"/>
    </xf>
    <xf numFmtId="0" fontId="3" fillId="0" borderId="0" xfId="0" applyFont="1" applyFill="1"/>
    <xf numFmtId="0" fontId="3" fillId="0" borderId="0" xfId="0" applyFont="1"/>
    <xf numFmtId="0" fontId="4" fillId="3" borderId="15" xfId="3" quotePrefix="1" applyFont="1" applyFill="1" applyBorder="1" applyAlignment="1">
      <alignment horizontal="center" vertical="center" wrapText="1"/>
    </xf>
    <xf numFmtId="9" fontId="8" fillId="0" borderId="0" xfId="0" applyNumberFormat="1" applyFont="1" applyAlignment="1">
      <alignment horizontal="center"/>
    </xf>
    <xf numFmtId="0" fontId="5" fillId="19" borderId="56" xfId="3" applyFont="1" applyFill="1" applyBorder="1" applyAlignment="1">
      <alignment horizontal="center" vertical="center" wrapText="1"/>
    </xf>
    <xf numFmtId="0" fontId="5" fillId="19" borderId="57" xfId="3" applyFont="1" applyFill="1" applyBorder="1" applyAlignment="1">
      <alignment horizontal="center" vertical="center"/>
    </xf>
    <xf numFmtId="0" fontId="5" fillId="19" borderId="58" xfId="3" applyFont="1" applyFill="1" applyBorder="1" applyAlignment="1">
      <alignment horizontal="center" vertical="center" wrapText="1"/>
    </xf>
    <xf numFmtId="0" fontId="5" fillId="0" borderId="59" xfId="3" applyFont="1" applyFill="1" applyBorder="1" applyAlignment="1">
      <alignment horizontal="center" vertical="center" wrapText="1"/>
    </xf>
    <xf numFmtId="0" fontId="5" fillId="19" borderId="60" xfId="3" applyFont="1" applyFill="1" applyBorder="1" applyAlignment="1">
      <alignment horizontal="center" vertical="center" wrapText="1"/>
    </xf>
    <xf numFmtId="3" fontId="5" fillId="20" borderId="61" xfId="3" applyNumberFormat="1" applyFont="1" applyFill="1" applyBorder="1" applyAlignment="1">
      <alignment vertical="center" wrapText="1"/>
    </xf>
    <xf numFmtId="3" fontId="5" fillId="20" borderId="1" xfId="3" applyNumberFormat="1" applyFont="1" applyFill="1" applyBorder="1" applyAlignment="1">
      <alignment horizontal="center" vertical="center" wrapText="1"/>
    </xf>
    <xf numFmtId="3" fontId="5" fillId="20" borderId="62" xfId="3" applyNumberFormat="1" applyFont="1" applyFill="1" applyBorder="1" applyAlignment="1">
      <alignment horizontal="center" vertical="center" wrapText="1"/>
    </xf>
    <xf numFmtId="0" fontId="5" fillId="20" borderId="11" xfId="3" applyFont="1" applyFill="1" applyBorder="1" applyAlignment="1">
      <alignment horizontal="left" vertical="center" wrapText="1"/>
    </xf>
    <xf numFmtId="0" fontId="5" fillId="20" borderId="12" xfId="3" applyFont="1" applyFill="1" applyBorder="1" applyAlignment="1">
      <alignment horizontal="left" vertical="center" wrapText="1"/>
    </xf>
    <xf numFmtId="3" fontId="5" fillId="20" borderId="63" xfId="3" applyNumberFormat="1" applyFont="1" applyFill="1" applyBorder="1" applyAlignment="1">
      <alignment vertical="center" wrapText="1"/>
    </xf>
    <xf numFmtId="9" fontId="10" fillId="20" borderId="0" xfId="2" applyFont="1" applyFill="1" applyBorder="1" applyAlignment="1">
      <alignment horizontal="center" vertical="center" wrapText="1"/>
    </xf>
    <xf numFmtId="9" fontId="10" fillId="20" borderId="7" xfId="2" applyFont="1" applyFill="1" applyBorder="1" applyAlignment="1">
      <alignment horizontal="center" vertical="center" wrapText="1"/>
    </xf>
    <xf numFmtId="9" fontId="10" fillId="20" borderId="62" xfId="2" applyFont="1" applyFill="1" applyBorder="1" applyAlignment="1">
      <alignment horizontal="center" vertical="center" wrapText="1"/>
    </xf>
    <xf numFmtId="0" fontId="5" fillId="20" borderId="2" xfId="3" applyFont="1" applyFill="1" applyBorder="1" applyAlignment="1">
      <alignment horizontal="left" vertical="center" wrapText="1"/>
    </xf>
    <xf numFmtId="0" fontId="5" fillId="20" borderId="67" xfId="3" quotePrefix="1" applyFont="1" applyFill="1" applyBorder="1" applyAlignment="1">
      <alignment horizontal="left" vertical="center"/>
    </xf>
    <xf numFmtId="3" fontId="11" fillId="20" borderId="68" xfId="3" applyNumberFormat="1" applyFont="1" applyFill="1" applyBorder="1" applyAlignment="1">
      <alignment vertical="center"/>
    </xf>
    <xf numFmtId="3" fontId="3" fillId="20" borderId="71" xfId="3" applyNumberFormat="1" applyFont="1" applyFill="1" applyBorder="1" applyAlignment="1">
      <alignment vertical="center"/>
    </xf>
    <xf numFmtId="0" fontId="3" fillId="2" borderId="8" xfId="3" quotePrefix="1" applyFont="1" applyFill="1" applyBorder="1" applyAlignment="1">
      <alignment horizontal="left" vertical="center"/>
    </xf>
    <xf numFmtId="0" fontId="10" fillId="2" borderId="9" xfId="3" applyFont="1" applyFill="1" applyBorder="1" applyAlignment="1">
      <alignment horizontal="left" vertical="center" wrapText="1"/>
    </xf>
    <xf numFmtId="3" fontId="10" fillId="2" borderId="9" xfId="3" applyNumberFormat="1" applyFont="1" applyFill="1" applyBorder="1" applyAlignment="1">
      <alignment vertical="center" wrapText="1"/>
    </xf>
    <xf numFmtId="3" fontId="3" fillId="2" borderId="69" xfId="3" applyNumberFormat="1" applyFont="1" applyFill="1" applyBorder="1" applyAlignment="1">
      <alignment vertical="center"/>
    </xf>
    <xf numFmtId="0" fontId="5" fillId="20" borderId="5" xfId="3" quotePrefix="1" applyFont="1" applyFill="1" applyBorder="1" applyAlignment="1">
      <alignment horizontal="left" vertical="center"/>
    </xf>
    <xf numFmtId="0" fontId="5" fillId="20" borderId="6" xfId="3" quotePrefix="1" applyFont="1" applyFill="1" applyBorder="1" applyAlignment="1">
      <alignment horizontal="left" vertical="center" wrapText="1"/>
    </xf>
    <xf numFmtId="0" fontId="10" fillId="2" borderId="9" xfId="3" quotePrefix="1" applyFont="1" applyFill="1" applyBorder="1" applyAlignment="1">
      <alignment horizontal="left" vertical="center" wrapText="1"/>
    </xf>
    <xf numFmtId="0" fontId="5" fillId="20" borderId="57" xfId="3" applyFont="1" applyFill="1" applyBorder="1" applyAlignment="1">
      <alignment horizontal="left" vertical="center"/>
    </xf>
    <xf numFmtId="0" fontId="5" fillId="20" borderId="58" xfId="3" applyFont="1" applyFill="1" applyBorder="1" applyAlignment="1">
      <alignment vertical="center"/>
    </xf>
    <xf numFmtId="0" fontId="3" fillId="0" borderId="0" xfId="3" applyFont="1" applyBorder="1" applyAlignment="1">
      <alignment vertical="center"/>
    </xf>
    <xf numFmtId="0" fontId="5" fillId="19" borderId="56" xfId="3" applyFont="1" applyFill="1" applyBorder="1" applyAlignment="1">
      <alignment horizontal="left" vertical="center" wrapText="1"/>
    </xf>
    <xf numFmtId="0" fontId="5" fillId="9" borderId="2" xfId="3" applyFont="1" applyFill="1" applyBorder="1" applyAlignment="1">
      <alignment horizontal="left" vertical="center" wrapText="1"/>
    </xf>
    <xf numFmtId="0" fontId="5" fillId="9" borderId="11" xfId="3" applyFont="1" applyFill="1" applyBorder="1" applyAlignment="1">
      <alignment horizontal="left" vertical="center" wrapText="1"/>
    </xf>
    <xf numFmtId="0" fontId="5" fillId="11" borderId="67" xfId="3" quotePrefix="1" applyFont="1" applyFill="1" applyBorder="1" applyAlignment="1">
      <alignment horizontal="left" vertical="center"/>
    </xf>
    <xf numFmtId="0" fontId="3" fillId="11" borderId="68" xfId="3" applyFont="1" applyFill="1" applyBorder="1" applyAlignment="1">
      <alignment horizontal="left" vertical="center" wrapText="1"/>
    </xf>
    <xf numFmtId="9" fontId="10" fillId="0" borderId="59" xfId="2" applyNumberFormat="1" applyFont="1" applyFill="1" applyBorder="1" applyAlignment="1">
      <alignment horizontal="right" vertical="center"/>
    </xf>
    <xf numFmtId="0" fontId="3" fillId="0" borderId="8" xfId="3" applyFont="1" applyFill="1" applyBorder="1" applyAlignment="1">
      <alignment horizontal="left" vertical="center"/>
    </xf>
    <xf numFmtId="0" fontId="3" fillId="0" borderId="9" xfId="3" applyFont="1" applyFill="1" applyBorder="1" applyAlignment="1">
      <alignment horizontal="left" vertical="center" wrapText="1"/>
    </xf>
    <xf numFmtId="41" fontId="3" fillId="0" borderId="70" xfId="3" applyNumberFormat="1" applyFont="1" applyFill="1" applyBorder="1" applyAlignment="1">
      <alignment horizontal="right" vertical="center"/>
    </xf>
    <xf numFmtId="0" fontId="5" fillId="11" borderId="5" xfId="3" quotePrefix="1" applyFont="1" applyFill="1" applyBorder="1" applyAlignment="1">
      <alignment horizontal="left" vertical="center"/>
    </xf>
    <xf numFmtId="0" fontId="3" fillId="11" borderId="6" xfId="3" applyFont="1" applyFill="1" applyBorder="1" applyAlignment="1">
      <alignment horizontal="left" vertical="center" wrapText="1"/>
    </xf>
    <xf numFmtId="0" fontId="5" fillId="9" borderId="57" xfId="3" applyFont="1" applyFill="1" applyBorder="1" applyAlignment="1">
      <alignment horizontal="left" vertical="center"/>
    </xf>
    <xf numFmtId="0" fontId="5" fillId="9" borderId="58" xfId="3" applyFont="1" applyFill="1" applyBorder="1" applyAlignment="1">
      <alignment vertical="center"/>
    </xf>
    <xf numFmtId="0" fontId="5" fillId="14" borderId="2" xfId="3" applyFont="1" applyFill="1" applyBorder="1" applyAlignment="1">
      <alignment horizontal="left" vertical="center" wrapText="1"/>
    </xf>
    <xf numFmtId="0" fontId="5" fillId="14" borderId="11" xfId="3" applyFont="1" applyFill="1" applyBorder="1" applyAlignment="1">
      <alignment horizontal="left" vertical="center" wrapText="1"/>
    </xf>
    <xf numFmtId="0" fontId="5" fillId="16" borderId="67" xfId="3" quotePrefix="1" applyFont="1" applyFill="1" applyBorder="1" applyAlignment="1">
      <alignment horizontal="left" vertical="center"/>
    </xf>
    <xf numFmtId="0" fontId="3" fillId="16" borderId="68" xfId="3" applyFont="1" applyFill="1" applyBorder="1" applyAlignment="1">
      <alignment horizontal="left" vertical="center" wrapText="1"/>
    </xf>
    <xf numFmtId="0" fontId="5" fillId="16" borderId="5" xfId="3" quotePrefix="1" applyFont="1" applyFill="1" applyBorder="1" applyAlignment="1">
      <alignment horizontal="left" vertical="center"/>
    </xf>
    <xf numFmtId="0" fontId="3" fillId="16" borderId="6" xfId="3" applyFont="1" applyFill="1" applyBorder="1" applyAlignment="1">
      <alignment horizontal="left" vertical="center" wrapText="1"/>
    </xf>
    <xf numFmtId="0" fontId="5" fillId="14" borderId="57" xfId="3" applyFont="1" applyFill="1" applyBorder="1" applyAlignment="1">
      <alignment horizontal="left" vertical="center"/>
    </xf>
    <xf numFmtId="0" fontId="5" fillId="14" borderId="58" xfId="3" applyFont="1" applyFill="1" applyBorder="1" applyAlignment="1">
      <alignment vertical="center"/>
    </xf>
    <xf numFmtId="0" fontId="5" fillId="0" borderId="57" xfId="3" applyFont="1" applyBorder="1" applyAlignment="1">
      <alignment horizontal="left" vertical="center"/>
    </xf>
    <xf numFmtId="0" fontId="3" fillId="0" borderId="58" xfId="3" applyFont="1" applyBorder="1" applyAlignment="1">
      <alignment vertical="center"/>
    </xf>
    <xf numFmtId="0" fontId="2" fillId="0" borderId="0" xfId="3" applyFont="1" applyFill="1" applyBorder="1" applyAlignment="1">
      <alignment horizontal="center" vertical="center" wrapText="1"/>
    </xf>
    <xf numFmtId="3" fontId="11" fillId="20" borderId="77" xfId="3" applyNumberFormat="1" applyFont="1" applyFill="1" applyBorder="1" applyAlignment="1">
      <alignment vertical="center"/>
    </xf>
    <xf numFmtId="165" fontId="10" fillId="0" borderId="59" xfId="2" applyNumberFormat="1" applyFont="1" applyFill="1" applyBorder="1" applyAlignment="1">
      <alignment horizontal="right" vertical="center"/>
    </xf>
    <xf numFmtId="3" fontId="3" fillId="2" borderId="70" xfId="3" applyNumberFormat="1" applyFont="1" applyFill="1" applyBorder="1" applyAlignment="1">
      <alignment vertical="center"/>
    </xf>
    <xf numFmtId="3" fontId="3" fillId="2" borderId="15" xfId="3" applyNumberFormat="1" applyFont="1" applyFill="1" applyBorder="1" applyAlignment="1">
      <alignment vertical="center"/>
    </xf>
    <xf numFmtId="3" fontId="3" fillId="20" borderId="78" xfId="3" applyNumberFormat="1" applyFont="1" applyFill="1" applyBorder="1" applyAlignment="1">
      <alignment vertical="center"/>
    </xf>
    <xf numFmtId="9" fontId="13" fillId="0" borderId="59" xfId="2" applyNumberFormat="1" applyFont="1" applyFill="1" applyBorder="1" applyAlignment="1">
      <alignment horizontal="right" vertical="center"/>
    </xf>
    <xf numFmtId="3" fontId="6" fillId="20" borderId="71" xfId="3" applyNumberFormat="1" applyFont="1" applyFill="1" applyBorder="1" applyAlignment="1">
      <alignment vertical="center"/>
    </xf>
    <xf numFmtId="3" fontId="6" fillId="2" borderId="70" xfId="3" applyNumberFormat="1" applyFont="1" applyFill="1" applyBorder="1" applyAlignment="1">
      <alignment vertical="center"/>
    </xf>
    <xf numFmtId="3" fontId="12" fillId="20" borderId="58" xfId="3" applyNumberFormat="1" applyFont="1" applyFill="1" applyBorder="1" applyAlignment="1">
      <alignment vertical="center"/>
    </xf>
    <xf numFmtId="9" fontId="13" fillId="0" borderId="59" xfId="2" applyNumberFormat="1" applyFont="1" applyFill="1" applyBorder="1" applyAlignment="1">
      <alignment horizontal="center" vertical="center"/>
    </xf>
    <xf numFmtId="3" fontId="12" fillId="20" borderId="60" xfId="3" applyNumberFormat="1" applyFont="1" applyFill="1" applyBorder="1" applyAlignment="1">
      <alignment horizontal="center" vertical="center"/>
    </xf>
    <xf numFmtId="3" fontId="6" fillId="0" borderId="58" xfId="3" applyNumberFormat="1" applyFont="1" applyBorder="1" applyAlignment="1">
      <alignment vertical="center"/>
    </xf>
    <xf numFmtId="3" fontId="6" fillId="0" borderId="0" xfId="3" applyNumberFormat="1" applyFont="1" applyFill="1" applyBorder="1" applyAlignment="1">
      <alignment vertical="center"/>
    </xf>
    <xf numFmtId="3" fontId="6" fillId="0" borderId="9" xfId="3" applyNumberFormat="1" applyFont="1" applyBorder="1" applyAlignment="1">
      <alignment horizontal="right" vertical="center"/>
    </xf>
    <xf numFmtId="165" fontId="13" fillId="0" borderId="59" xfId="2" applyNumberFormat="1" applyFont="1" applyFill="1" applyBorder="1" applyAlignment="1">
      <alignment horizontal="center" vertical="center"/>
    </xf>
    <xf numFmtId="41" fontId="6" fillId="0" borderId="70" xfId="3" applyNumberFormat="1" applyFont="1" applyFill="1" applyBorder="1" applyAlignment="1">
      <alignment horizontal="right" vertical="center"/>
    </xf>
    <xf numFmtId="41" fontId="6" fillId="11" borderId="71" xfId="3" applyNumberFormat="1" applyFont="1" applyFill="1" applyBorder="1" applyAlignment="1">
      <alignment horizontal="right" vertical="center"/>
    </xf>
    <xf numFmtId="3" fontId="12" fillId="9" borderId="58" xfId="3" applyNumberFormat="1" applyFont="1" applyFill="1" applyBorder="1" applyAlignment="1">
      <alignment vertical="center"/>
    </xf>
    <xf numFmtId="3" fontId="12" fillId="9" borderId="73" xfId="3" applyNumberFormat="1" applyFont="1" applyFill="1" applyBorder="1" applyAlignment="1">
      <alignment horizontal="center" vertical="center"/>
    </xf>
    <xf numFmtId="3" fontId="6" fillId="0" borderId="3" xfId="3" applyNumberFormat="1" applyFont="1" applyBorder="1" applyAlignment="1">
      <alignment vertical="center"/>
    </xf>
    <xf numFmtId="3" fontId="6" fillId="0" borderId="24" xfId="3" applyNumberFormat="1" applyFont="1" applyBorder="1" applyAlignment="1">
      <alignment horizontal="right" vertical="center"/>
    </xf>
    <xf numFmtId="3" fontId="6" fillId="16" borderId="71" xfId="3" applyNumberFormat="1" applyFont="1" applyFill="1" applyBorder="1" applyAlignment="1">
      <alignment vertical="center"/>
    </xf>
    <xf numFmtId="41" fontId="6" fillId="16" borderId="71" xfId="3" applyNumberFormat="1" applyFont="1" applyFill="1" applyBorder="1" applyAlignment="1">
      <alignment horizontal="right" vertical="center"/>
    </xf>
    <xf numFmtId="3" fontId="12" fillId="14" borderId="58" xfId="3" applyNumberFormat="1" applyFont="1" applyFill="1" applyBorder="1" applyAlignment="1">
      <alignment vertical="center"/>
    </xf>
    <xf numFmtId="9" fontId="13" fillId="0" borderId="75" xfId="2" applyNumberFormat="1" applyFont="1" applyFill="1" applyBorder="1" applyAlignment="1">
      <alignment horizontal="center" vertical="center"/>
    </xf>
    <xf numFmtId="3" fontId="12" fillId="14" borderId="73" xfId="3" applyNumberFormat="1" applyFont="1" applyFill="1" applyBorder="1" applyAlignment="1">
      <alignment horizontal="center" vertical="center"/>
    </xf>
    <xf numFmtId="3" fontId="6" fillId="0" borderId="58" xfId="3" applyNumberFormat="1" applyFont="1" applyFill="1" applyBorder="1" applyAlignment="1">
      <alignment vertical="center"/>
    </xf>
    <xf numFmtId="3" fontId="6" fillId="0" borderId="58" xfId="3" applyNumberFormat="1" applyFont="1" applyBorder="1" applyAlignment="1">
      <alignment horizontal="center" vertical="center"/>
    </xf>
    <xf numFmtId="0" fontId="5" fillId="20" borderId="68" xfId="3" quotePrefix="1" applyFont="1" applyFill="1" applyBorder="1" applyAlignment="1">
      <alignment horizontal="left" vertical="center" wrapText="1"/>
    </xf>
    <xf numFmtId="0" fontId="3" fillId="2" borderId="43" xfId="3" applyFont="1" applyFill="1" applyBorder="1" applyAlignment="1">
      <alignment horizontal="center" vertical="center" wrapText="1"/>
    </xf>
    <xf numFmtId="0" fontId="3" fillId="2" borderId="37" xfId="3" applyFont="1" applyFill="1" applyBorder="1" applyAlignment="1">
      <alignment horizontal="center" vertical="center" wrapText="1"/>
    </xf>
    <xf numFmtId="0" fontId="1" fillId="0" borderId="0" xfId="3" applyFill="1"/>
    <xf numFmtId="0" fontId="3" fillId="8" borderId="46" xfId="3" applyFont="1" applyFill="1" applyBorder="1" applyAlignment="1">
      <alignment horizontal="center" vertical="center" wrapText="1"/>
    </xf>
    <xf numFmtId="3" fontId="3" fillId="2" borderId="72" xfId="3" applyNumberFormat="1" applyFont="1" applyFill="1" applyBorder="1" applyAlignment="1">
      <alignment vertical="center"/>
    </xf>
    <xf numFmtId="0" fontId="3" fillId="8" borderId="48" xfId="3" applyFont="1" applyFill="1" applyBorder="1" applyAlignment="1">
      <alignment horizontal="center" vertical="center" wrapText="1"/>
    </xf>
    <xf numFmtId="9" fontId="10" fillId="0" borderId="59" xfId="2" applyFont="1" applyBorder="1" applyAlignment="1">
      <alignment horizontal="right" vertical="center"/>
    </xf>
    <xf numFmtId="165" fontId="10" fillId="0" borderId="59" xfId="2" applyNumberFormat="1" applyFont="1" applyBorder="1" applyAlignment="1">
      <alignment horizontal="right" vertical="center"/>
    </xf>
    <xf numFmtId="41" fontId="3" fillId="0" borderId="70" xfId="3" applyNumberFormat="1" applyFont="1" applyBorder="1" applyAlignment="1">
      <alignment horizontal="right" vertical="center"/>
    </xf>
    <xf numFmtId="0" fontId="3" fillId="0" borderId="47" xfId="3" applyFont="1" applyBorder="1" applyAlignment="1">
      <alignment vertical="center" wrapText="1"/>
    </xf>
    <xf numFmtId="0" fontId="3" fillId="0" borderId="39" xfId="3" applyFont="1" applyBorder="1" applyAlignment="1">
      <alignment vertical="center" wrapText="1"/>
    </xf>
    <xf numFmtId="0" fontId="3" fillId="0" borderId="42" xfId="3" applyFont="1" applyBorder="1" applyAlignment="1">
      <alignment horizontal="center" vertical="center" wrapText="1"/>
    </xf>
    <xf numFmtId="0" fontId="3" fillId="0" borderId="41" xfId="3" applyFont="1" applyBorder="1" applyAlignment="1">
      <alignment horizontal="center" vertical="center" wrapText="1"/>
    </xf>
    <xf numFmtId="0" fontId="3" fillId="0" borderId="44" xfId="3" applyFont="1" applyBorder="1" applyAlignment="1">
      <alignment horizontal="center" vertical="center" wrapText="1"/>
    </xf>
    <xf numFmtId="0" fontId="3" fillId="0" borderId="34" xfId="3" applyFont="1" applyBorder="1" applyAlignment="1">
      <alignment horizontal="center" vertical="center" wrapText="1"/>
    </xf>
    <xf numFmtId="0" fontId="3" fillId="0" borderId="35" xfId="3" applyFont="1" applyBorder="1" applyAlignment="1">
      <alignment horizontal="center" vertical="center" wrapText="1"/>
    </xf>
    <xf numFmtId="0" fontId="3" fillId="0" borderId="38" xfId="3" applyFont="1" applyBorder="1" applyAlignment="1">
      <alignment vertical="center" wrapText="1"/>
    </xf>
    <xf numFmtId="0" fontId="3" fillId="0" borderId="33" xfId="3" applyFont="1" applyBorder="1" applyAlignment="1">
      <alignment horizontal="center" vertical="center" wrapText="1"/>
    </xf>
    <xf numFmtId="0" fontId="3" fillId="0" borderId="45" xfId="3" applyFont="1" applyBorder="1" applyAlignment="1">
      <alignment horizontal="center" vertical="center" wrapText="1"/>
    </xf>
    <xf numFmtId="165" fontId="13" fillId="0" borderId="59" xfId="2" applyNumberFormat="1" applyFont="1" applyBorder="1" applyAlignment="1">
      <alignment horizontal="center" vertical="center"/>
    </xf>
    <xf numFmtId="0" fontId="3" fillId="0" borderId="8" xfId="3" applyFont="1" applyBorder="1" applyAlignment="1">
      <alignment horizontal="left" vertical="center"/>
    </xf>
    <xf numFmtId="0" fontId="3" fillId="0" borderId="9" xfId="3" applyFont="1" applyBorder="1" applyAlignment="1">
      <alignment horizontal="left" vertical="center" wrapText="1"/>
    </xf>
    <xf numFmtId="41" fontId="6" fillId="0" borderId="70" xfId="3" applyNumberFormat="1" applyFont="1" applyBorder="1" applyAlignment="1">
      <alignment horizontal="right" vertical="center"/>
    </xf>
    <xf numFmtId="0" fontId="3" fillId="0" borderId="0" xfId="3" applyFont="1" applyBorder="1" applyAlignment="1">
      <alignment horizontal="left" vertical="center" wrapText="1"/>
    </xf>
    <xf numFmtId="0" fontId="15" fillId="0" borderId="0" xfId="0" applyFont="1"/>
    <xf numFmtId="3" fontId="6" fillId="11" borderId="71" xfId="3" applyNumberFormat="1" applyFont="1" applyFill="1" applyBorder="1" applyAlignment="1">
      <alignment vertical="center"/>
    </xf>
    <xf numFmtId="3" fontId="3" fillId="11" borderId="78" xfId="3" applyNumberFormat="1" applyFont="1" applyFill="1" applyBorder="1" applyAlignment="1">
      <alignment vertical="center"/>
    </xf>
    <xf numFmtId="3" fontId="10" fillId="11" borderId="6" xfId="3" applyNumberFormat="1" applyFont="1" applyFill="1" applyBorder="1" applyAlignment="1">
      <alignment vertical="center"/>
    </xf>
    <xf numFmtId="3" fontId="10" fillId="16" borderId="68" xfId="3" applyNumberFormat="1" applyFont="1" applyFill="1" applyBorder="1" applyAlignment="1">
      <alignment vertical="center"/>
    </xf>
    <xf numFmtId="164" fontId="5" fillId="14" borderId="64" xfId="1" applyNumberFormat="1" applyFont="1" applyFill="1" applyBorder="1" applyAlignment="1">
      <alignment horizontal="center" vertical="center" wrapText="1"/>
    </xf>
    <xf numFmtId="3" fontId="3" fillId="0" borderId="9" xfId="3" applyNumberFormat="1" applyFont="1" applyBorder="1" applyAlignment="1">
      <alignment vertical="center" wrapText="1"/>
    </xf>
    <xf numFmtId="165" fontId="10" fillId="0" borderId="59" xfId="2" applyNumberFormat="1" applyFont="1" applyBorder="1" applyAlignment="1">
      <alignment horizontal="center" vertical="center"/>
    </xf>
    <xf numFmtId="0" fontId="3" fillId="0" borderId="68" xfId="3" applyFont="1" applyFill="1" applyBorder="1" applyAlignment="1">
      <alignment horizontal="left" vertical="center" wrapText="1"/>
    </xf>
    <xf numFmtId="3" fontId="3" fillId="0" borderId="68" xfId="3" applyNumberFormat="1" applyFont="1" applyFill="1" applyBorder="1" applyAlignment="1">
      <alignment vertical="center" wrapText="1"/>
    </xf>
    <xf numFmtId="165" fontId="10" fillId="0" borderId="59" xfId="2" applyNumberFormat="1" applyFont="1" applyFill="1" applyBorder="1" applyAlignment="1">
      <alignment horizontal="center" vertical="center"/>
    </xf>
    <xf numFmtId="41" fontId="3" fillId="0" borderId="79" xfId="3" applyNumberFormat="1" applyFont="1" applyFill="1" applyBorder="1" applyAlignment="1">
      <alignment horizontal="right" vertical="center"/>
    </xf>
    <xf numFmtId="0" fontId="8" fillId="21" borderId="0" xfId="0" applyFont="1" applyFill="1"/>
    <xf numFmtId="3" fontId="3" fillId="16" borderId="6" xfId="3" applyNumberFormat="1" applyFont="1" applyFill="1" applyBorder="1" applyAlignment="1">
      <alignment vertical="center"/>
    </xf>
    <xf numFmtId="9" fontId="10" fillId="14" borderId="66" xfId="2" applyFont="1" applyFill="1" applyBorder="1" applyAlignment="1">
      <alignment horizontal="center" vertical="center" wrapText="1"/>
    </xf>
    <xf numFmtId="3" fontId="10" fillId="16" borderId="77" xfId="3" applyNumberFormat="1" applyFont="1" applyFill="1" applyBorder="1" applyAlignment="1">
      <alignment vertical="center"/>
    </xf>
    <xf numFmtId="0" fontId="5" fillId="19" borderId="3" xfId="3" applyFont="1" applyFill="1" applyBorder="1" applyAlignment="1">
      <alignment horizontal="center" vertical="center" wrapText="1"/>
    </xf>
    <xf numFmtId="3" fontId="5" fillId="9" borderId="3" xfId="3" applyNumberFormat="1" applyFont="1" applyFill="1" applyBorder="1" applyAlignment="1">
      <alignment vertical="center" wrapText="1"/>
    </xf>
    <xf numFmtId="9" fontId="10" fillId="0" borderId="59" xfId="2" applyFont="1" applyFill="1" applyBorder="1" applyAlignment="1">
      <alignment horizontal="center" vertical="center" wrapText="1"/>
    </xf>
    <xf numFmtId="3" fontId="5" fillId="9" borderId="3" xfId="3" applyNumberFormat="1" applyFont="1" applyFill="1" applyBorder="1" applyAlignment="1">
      <alignment horizontal="center" vertical="center" wrapText="1"/>
    </xf>
    <xf numFmtId="3" fontId="5" fillId="9" borderId="2" xfId="3" applyNumberFormat="1" applyFont="1" applyFill="1" applyBorder="1" applyAlignment="1">
      <alignment horizontal="center" vertical="center" wrapText="1"/>
    </xf>
    <xf numFmtId="3" fontId="5" fillId="9" borderId="64" xfId="3" applyNumberFormat="1" applyFont="1" applyFill="1" applyBorder="1" applyAlignment="1">
      <alignment horizontal="center" vertical="center" wrapText="1"/>
    </xf>
    <xf numFmtId="3" fontId="5" fillId="9" borderId="63" xfId="3" applyNumberFormat="1" applyFont="1" applyFill="1" applyBorder="1" applyAlignment="1">
      <alignment vertical="center" wrapText="1"/>
    </xf>
    <xf numFmtId="9" fontId="10" fillId="9" borderId="65" xfId="2" applyFont="1" applyFill="1" applyBorder="1" applyAlignment="1">
      <alignment horizontal="center" vertical="center" wrapText="1"/>
    </xf>
    <xf numFmtId="9" fontId="10" fillId="9" borderId="66" xfId="2" applyFont="1" applyFill="1" applyBorder="1" applyAlignment="1">
      <alignment horizontal="center" vertical="center" wrapText="1"/>
    </xf>
    <xf numFmtId="0" fontId="5" fillId="0" borderId="74" xfId="3" applyFont="1" applyFill="1" applyBorder="1" applyAlignment="1">
      <alignment horizontal="center" vertical="center" wrapText="1"/>
    </xf>
    <xf numFmtId="3" fontId="5" fillId="14" borderId="3" xfId="3" applyNumberFormat="1" applyFont="1" applyFill="1" applyBorder="1" applyAlignment="1">
      <alignment vertical="center" wrapText="1"/>
    </xf>
    <xf numFmtId="164" fontId="5" fillId="14" borderId="3" xfId="1" applyNumberFormat="1" applyFont="1" applyFill="1" applyBorder="1" applyAlignment="1">
      <alignment horizontal="center" vertical="center" wrapText="1"/>
    </xf>
    <xf numFmtId="3" fontId="5" fillId="14" borderId="63" xfId="3" applyNumberFormat="1" applyFont="1" applyFill="1" applyBorder="1" applyAlignment="1">
      <alignment vertical="center" wrapText="1"/>
    </xf>
    <xf numFmtId="9" fontId="10" fillId="14" borderId="65" xfId="2" applyFont="1" applyFill="1" applyBorder="1" applyAlignment="1">
      <alignment horizontal="center" vertical="center" wrapText="1"/>
    </xf>
    <xf numFmtId="0" fontId="3" fillId="0" borderId="0" xfId="3" applyFont="1" applyAlignment="1">
      <alignment vertical="center"/>
    </xf>
    <xf numFmtId="3" fontId="6" fillId="0" borderId="0" xfId="3" applyNumberFormat="1" applyFont="1" applyAlignment="1">
      <alignment vertical="center"/>
    </xf>
    <xf numFmtId="9" fontId="10" fillId="0" borderId="59" xfId="2" applyFont="1" applyBorder="1" applyAlignment="1">
      <alignment horizontal="center" vertical="center" wrapText="1"/>
    </xf>
    <xf numFmtId="9" fontId="13" fillId="0" borderId="59" xfId="2" applyFont="1" applyBorder="1" applyAlignment="1">
      <alignment horizontal="right" vertical="center"/>
    </xf>
    <xf numFmtId="0" fontId="3" fillId="0" borderId="24" xfId="3" applyFont="1" applyBorder="1" applyAlignment="1">
      <alignment horizontal="left" vertical="center" wrapText="1"/>
    </xf>
    <xf numFmtId="9" fontId="13" fillId="0" borderId="59" xfId="2" applyFont="1" applyBorder="1" applyAlignment="1">
      <alignment horizontal="center" vertical="center"/>
    </xf>
    <xf numFmtId="0" fontId="1" fillId="0" borderId="0" xfId="3" applyBorder="1"/>
    <xf numFmtId="0" fontId="3" fillId="0" borderId="46" xfId="3" applyFont="1" applyBorder="1" applyAlignment="1">
      <alignment horizontal="center" vertical="center" wrapText="1"/>
    </xf>
    <xf numFmtId="0" fontId="3" fillId="0" borderId="48" xfId="3" applyFont="1" applyBorder="1" applyAlignment="1">
      <alignment horizontal="center" vertical="center" wrapText="1"/>
    </xf>
    <xf numFmtId="0" fontId="5" fillId="0" borderId="74" xfId="3" applyFont="1" applyBorder="1" applyAlignment="1">
      <alignment horizontal="center" vertical="center" wrapText="1"/>
    </xf>
    <xf numFmtId="9" fontId="13" fillId="0" borderId="75" xfId="2" applyFont="1" applyBorder="1" applyAlignment="1">
      <alignment horizontal="center" vertical="center"/>
    </xf>
    <xf numFmtId="0" fontId="5" fillId="22" borderId="2" xfId="3" applyFont="1" applyFill="1" applyBorder="1" applyAlignment="1">
      <alignment horizontal="left" vertical="center" wrapText="1"/>
    </xf>
    <xf numFmtId="3" fontId="5" fillId="22" borderId="3" xfId="3" applyNumberFormat="1" applyFont="1" applyFill="1" applyBorder="1" applyAlignment="1">
      <alignment vertical="center" wrapText="1"/>
    </xf>
    <xf numFmtId="3" fontId="5" fillId="22" borderId="3" xfId="3" applyNumberFormat="1" applyFont="1" applyFill="1" applyBorder="1" applyAlignment="1">
      <alignment horizontal="center" vertical="center" wrapText="1"/>
    </xf>
    <xf numFmtId="3" fontId="5" fillId="22" borderId="2" xfId="3" applyNumberFormat="1" applyFont="1" applyFill="1" applyBorder="1" applyAlignment="1">
      <alignment horizontal="center" vertical="center" wrapText="1"/>
    </xf>
    <xf numFmtId="0" fontId="5" fillId="22" borderId="11" xfId="3" applyFont="1" applyFill="1" applyBorder="1" applyAlignment="1">
      <alignment horizontal="left" vertical="center" wrapText="1"/>
    </xf>
    <xf numFmtId="3" fontId="5" fillId="22" borderId="63" xfId="3" applyNumberFormat="1" applyFont="1" applyFill="1" applyBorder="1" applyAlignment="1">
      <alignment vertical="center" wrapText="1"/>
    </xf>
    <xf numFmtId="9" fontId="10" fillId="22" borderId="65" xfId="2" applyFont="1" applyFill="1" applyBorder="1" applyAlignment="1">
      <alignment horizontal="center" vertical="center" wrapText="1"/>
    </xf>
    <xf numFmtId="9" fontId="10" fillId="22" borderId="66" xfId="2" applyFont="1" applyFill="1" applyBorder="1" applyAlignment="1">
      <alignment horizontal="center" vertical="center" wrapText="1"/>
    </xf>
    <xf numFmtId="0" fontId="5" fillId="23" borderId="67" xfId="3" quotePrefix="1" applyFont="1" applyFill="1" applyBorder="1" applyAlignment="1">
      <alignment horizontal="left" vertical="center"/>
    </xf>
    <xf numFmtId="0" fontId="3" fillId="23" borderId="68" xfId="3" applyFont="1" applyFill="1" applyBorder="1" applyAlignment="1">
      <alignment horizontal="left" vertical="center" wrapText="1"/>
    </xf>
    <xf numFmtId="3" fontId="10" fillId="23" borderId="6" xfId="3" applyNumberFormat="1" applyFont="1" applyFill="1" applyBorder="1" applyAlignment="1">
      <alignment vertical="center"/>
    </xf>
    <xf numFmtId="3" fontId="3" fillId="23" borderId="78" xfId="3" applyNumberFormat="1" applyFont="1" applyFill="1" applyBorder="1" applyAlignment="1">
      <alignment vertical="center"/>
    </xf>
    <xf numFmtId="9" fontId="13" fillId="0" borderId="59" xfId="2" applyFont="1" applyFill="1" applyBorder="1" applyAlignment="1">
      <alignment horizontal="right" vertical="center"/>
    </xf>
    <xf numFmtId="0" fontId="5" fillId="23" borderId="5" xfId="3" quotePrefix="1" applyFont="1" applyFill="1" applyBorder="1" applyAlignment="1">
      <alignment horizontal="left" vertical="center"/>
    </xf>
    <xf numFmtId="0" fontId="3" fillId="23" borderId="6" xfId="3" applyFont="1" applyFill="1" applyBorder="1" applyAlignment="1">
      <alignment horizontal="left" vertical="center" wrapText="1"/>
    </xf>
    <xf numFmtId="0" fontId="5" fillId="22" borderId="57" xfId="3" applyFont="1" applyFill="1" applyBorder="1" applyAlignment="1">
      <alignment horizontal="left" vertical="center"/>
    </xf>
    <xf numFmtId="0" fontId="5" fillId="22" borderId="58" xfId="3" applyFont="1" applyFill="1" applyBorder="1" applyAlignment="1">
      <alignment vertical="center"/>
    </xf>
    <xf numFmtId="3" fontId="12" fillId="22" borderId="58" xfId="3" applyNumberFormat="1" applyFont="1" applyFill="1" applyBorder="1" applyAlignment="1">
      <alignment vertical="center"/>
    </xf>
    <xf numFmtId="3" fontId="12" fillId="22" borderId="73" xfId="3" applyNumberFormat="1" applyFont="1" applyFill="1" applyBorder="1" applyAlignment="1">
      <alignment horizontal="center" vertical="center"/>
    </xf>
    <xf numFmtId="0" fontId="0" fillId="0" borderId="0" xfId="0" quotePrefix="1"/>
    <xf numFmtId="0" fontId="5" fillId="24" borderId="2" xfId="3" applyFont="1" applyFill="1" applyBorder="1" applyAlignment="1">
      <alignment horizontal="left" vertical="center" wrapText="1"/>
    </xf>
    <xf numFmtId="3" fontId="5" fillId="24" borderId="3" xfId="3" applyNumberFormat="1" applyFont="1" applyFill="1" applyBorder="1" applyAlignment="1">
      <alignment vertical="center" wrapText="1"/>
    </xf>
    <xf numFmtId="0" fontId="5" fillId="24" borderId="11" xfId="3" applyFont="1" applyFill="1" applyBorder="1" applyAlignment="1">
      <alignment horizontal="left" vertical="center" wrapText="1"/>
    </xf>
    <xf numFmtId="3" fontId="5" fillId="24" borderId="63" xfId="3" applyNumberFormat="1" applyFont="1" applyFill="1" applyBorder="1" applyAlignment="1">
      <alignment vertical="center" wrapText="1"/>
    </xf>
    <xf numFmtId="164" fontId="5" fillId="24" borderId="64" xfId="1" applyNumberFormat="1" applyFont="1" applyFill="1" applyBorder="1" applyAlignment="1">
      <alignment horizontal="center" vertical="center" wrapText="1"/>
    </xf>
    <xf numFmtId="9" fontId="10" fillId="24" borderId="66" xfId="2" applyFont="1" applyFill="1" applyBorder="1" applyAlignment="1">
      <alignment horizontal="center" vertical="center" wrapText="1"/>
    </xf>
    <xf numFmtId="0" fontId="5" fillId="24" borderId="57" xfId="3" applyFont="1" applyFill="1" applyBorder="1" applyAlignment="1">
      <alignment horizontal="left" vertical="center"/>
    </xf>
    <xf numFmtId="0" fontId="5" fillId="24" borderId="58" xfId="3" applyFont="1" applyFill="1" applyBorder="1" applyAlignment="1">
      <alignment vertical="center"/>
    </xf>
    <xf numFmtId="3" fontId="12" fillId="24" borderId="58" xfId="3" applyNumberFormat="1" applyFont="1" applyFill="1" applyBorder="1" applyAlignment="1">
      <alignment vertical="center"/>
    </xf>
    <xf numFmtId="3" fontId="12" fillId="24" borderId="74" xfId="3" applyNumberFormat="1" applyFont="1" applyFill="1" applyBorder="1" applyAlignment="1">
      <alignment horizontal="center" vertical="center"/>
    </xf>
    <xf numFmtId="0" fontId="5" fillId="25" borderId="67" xfId="3" quotePrefix="1" applyFont="1" applyFill="1" applyBorder="1" applyAlignment="1">
      <alignment horizontal="left" vertical="center"/>
    </xf>
    <xf numFmtId="0" fontId="3" fillId="25" borderId="68" xfId="3" applyFont="1" applyFill="1" applyBorder="1" applyAlignment="1">
      <alignment horizontal="left" vertical="center" wrapText="1"/>
    </xf>
    <xf numFmtId="3" fontId="10" fillId="25" borderId="68" xfId="3" applyNumberFormat="1" applyFont="1" applyFill="1" applyBorder="1" applyAlignment="1">
      <alignment vertical="center"/>
    </xf>
    <xf numFmtId="3" fontId="3" fillId="25" borderId="6" xfId="3" applyNumberFormat="1" applyFont="1" applyFill="1" applyBorder="1" applyAlignment="1">
      <alignment vertical="center"/>
    </xf>
    <xf numFmtId="0" fontId="3" fillId="25" borderId="6" xfId="3" applyFont="1" applyFill="1" applyBorder="1" applyAlignment="1">
      <alignment horizontal="left" vertical="center" wrapText="1"/>
    </xf>
    <xf numFmtId="0" fontId="5" fillId="25" borderId="5" xfId="3" quotePrefix="1" applyFont="1" applyFill="1" applyBorder="1" applyAlignment="1">
      <alignment horizontal="left" vertical="center"/>
    </xf>
    <xf numFmtId="3" fontId="10" fillId="25" borderId="77" xfId="3" applyNumberFormat="1" applyFont="1" applyFill="1" applyBorder="1" applyAlignment="1">
      <alignment vertical="center"/>
    </xf>
    <xf numFmtId="0" fontId="3" fillId="26" borderId="18" xfId="3" applyFont="1" applyFill="1" applyBorder="1" applyAlignment="1">
      <alignment horizontal="center" vertical="center" wrapText="1"/>
    </xf>
    <xf numFmtId="0" fontId="3" fillId="26" borderId="19" xfId="3" applyFont="1" applyFill="1" applyBorder="1" applyAlignment="1">
      <alignment horizontal="center" vertical="center" wrapText="1"/>
    </xf>
    <xf numFmtId="0" fontId="3" fillId="26" borderId="20" xfId="3" applyFont="1" applyFill="1" applyBorder="1" applyAlignment="1">
      <alignment horizontal="center" vertical="center" wrapText="1"/>
    </xf>
    <xf numFmtId="0" fontId="3" fillId="26" borderId="21" xfId="3" applyFont="1" applyFill="1" applyBorder="1" applyAlignment="1">
      <alignment horizontal="center" vertical="center" wrapText="1"/>
    </xf>
    <xf numFmtId="0" fontId="3" fillId="26" borderId="22" xfId="3" applyFont="1" applyFill="1" applyBorder="1" applyAlignment="1">
      <alignment horizontal="center" vertical="center" wrapText="1"/>
    </xf>
    <xf numFmtId="0" fontId="3" fillId="27" borderId="26" xfId="3" applyFont="1" applyFill="1" applyBorder="1" applyAlignment="1">
      <alignment horizontal="center" vertical="center" wrapText="1"/>
    </xf>
    <xf numFmtId="0" fontId="3" fillId="27" borderId="27" xfId="3" applyFont="1" applyFill="1" applyBorder="1" applyAlignment="1">
      <alignment horizontal="center" vertical="center" wrapText="1"/>
    </xf>
    <xf numFmtId="0" fontId="3" fillId="27" borderId="28" xfId="3" applyFont="1" applyFill="1" applyBorder="1" applyAlignment="1">
      <alignment horizontal="center" vertical="center" wrapText="1"/>
    </xf>
    <xf numFmtId="0" fontId="3" fillId="27" borderId="29" xfId="3" applyFont="1" applyFill="1" applyBorder="1" applyAlignment="1">
      <alignment horizontal="center" vertical="center" wrapText="1"/>
    </xf>
    <xf numFmtId="0" fontId="3" fillId="27" borderId="30" xfId="3" applyFont="1" applyFill="1" applyBorder="1" applyAlignment="1">
      <alignment horizontal="center" vertical="center" wrapText="1"/>
    </xf>
    <xf numFmtId="0" fontId="3" fillId="23" borderId="42" xfId="3" applyFont="1" applyFill="1" applyBorder="1" applyAlignment="1">
      <alignment horizontal="center" vertical="center" wrapText="1"/>
    </xf>
    <xf numFmtId="0" fontId="3" fillId="23" borderId="44" xfId="3" applyFont="1" applyFill="1" applyBorder="1" applyAlignment="1">
      <alignment horizontal="center" vertical="center" wrapText="1"/>
    </xf>
    <xf numFmtId="0" fontId="3" fillId="23" borderId="41" xfId="3" applyFont="1" applyFill="1" applyBorder="1" applyAlignment="1">
      <alignment horizontal="center" vertical="center" wrapText="1"/>
    </xf>
    <xf numFmtId="0" fontId="3" fillId="0" borderId="76" xfId="3" applyFont="1" applyBorder="1" applyAlignment="1">
      <alignment vertical="center" wrapText="1"/>
    </xf>
    <xf numFmtId="0" fontId="3" fillId="0" borderId="49" xfId="3" applyFont="1" applyBorder="1" applyAlignment="1">
      <alignment vertical="center" wrapText="1"/>
    </xf>
    <xf numFmtId="0" fontId="3" fillId="0" borderId="51" xfId="3" applyFont="1" applyBorder="1" applyAlignment="1">
      <alignment horizontal="center" vertical="center" wrapText="1"/>
    </xf>
    <xf numFmtId="0" fontId="3" fillId="0" borderId="52" xfId="3" applyFont="1" applyBorder="1" applyAlignment="1">
      <alignment horizontal="center" vertical="center" wrapText="1"/>
    </xf>
    <xf numFmtId="0" fontId="3" fillId="0" borderId="53" xfId="3" applyFont="1" applyBorder="1" applyAlignment="1">
      <alignment horizontal="center" vertical="center" wrapText="1"/>
    </xf>
    <xf numFmtId="0" fontId="3" fillId="0" borderId="54" xfId="3" applyFont="1" applyBorder="1" applyAlignment="1">
      <alignment horizontal="center" vertical="center" wrapText="1"/>
    </xf>
    <xf numFmtId="0" fontId="3" fillId="0" borderId="55" xfId="3" applyFont="1" applyBorder="1" applyAlignment="1">
      <alignment horizontal="center" vertical="center" wrapText="1"/>
    </xf>
    <xf numFmtId="0" fontId="3" fillId="28" borderId="18" xfId="3" applyFont="1" applyFill="1" applyBorder="1" applyAlignment="1">
      <alignment horizontal="center" vertical="center" wrapText="1"/>
    </xf>
    <xf numFmtId="0" fontId="3" fillId="28" borderId="19" xfId="3" applyFont="1" applyFill="1" applyBorder="1" applyAlignment="1">
      <alignment horizontal="center" vertical="center" wrapText="1"/>
    </xf>
    <xf numFmtId="0" fontId="3" fillId="28" borderId="20" xfId="3" applyFont="1" applyFill="1" applyBorder="1" applyAlignment="1">
      <alignment horizontal="center" vertical="center" wrapText="1"/>
    </xf>
    <xf numFmtId="0" fontId="3" fillId="28" borderId="21" xfId="3" applyFont="1" applyFill="1" applyBorder="1" applyAlignment="1">
      <alignment horizontal="center" vertical="center" wrapText="1"/>
    </xf>
    <xf numFmtId="0" fontId="3" fillId="28" borderId="22" xfId="3" applyFont="1" applyFill="1" applyBorder="1" applyAlignment="1">
      <alignment horizontal="center" vertical="center" wrapText="1"/>
    </xf>
    <xf numFmtId="0" fontId="3" fillId="29" borderId="26" xfId="3" applyFont="1" applyFill="1" applyBorder="1" applyAlignment="1">
      <alignment horizontal="center" vertical="center" wrapText="1"/>
    </xf>
    <xf numFmtId="0" fontId="3" fillId="29" borderId="27" xfId="3" applyFont="1" applyFill="1" applyBorder="1" applyAlignment="1">
      <alignment horizontal="center" vertical="center" wrapText="1"/>
    </xf>
    <xf numFmtId="0" fontId="3" fillId="29" borderId="28" xfId="3" applyFont="1" applyFill="1" applyBorder="1" applyAlignment="1">
      <alignment horizontal="center" vertical="center" wrapText="1"/>
    </xf>
    <xf numFmtId="0" fontId="3" fillId="29" borderId="29" xfId="3" applyFont="1" applyFill="1" applyBorder="1" applyAlignment="1">
      <alignment horizontal="center" vertical="center" wrapText="1"/>
    </xf>
    <xf numFmtId="0" fontId="3" fillId="29" borderId="30" xfId="3" applyFont="1" applyFill="1" applyBorder="1" applyAlignment="1">
      <alignment horizontal="center" vertical="center" wrapText="1"/>
    </xf>
    <xf numFmtId="0" fontId="1" fillId="0" borderId="0" xfId="3" applyBorder="1" applyAlignment="1">
      <alignment wrapText="1"/>
    </xf>
    <xf numFmtId="0" fontId="3" fillId="30" borderId="42" xfId="3" applyFont="1" applyFill="1" applyBorder="1" applyAlignment="1">
      <alignment horizontal="center" vertical="center" wrapText="1"/>
    </xf>
    <xf numFmtId="0" fontId="3" fillId="30" borderId="41" xfId="3" applyFont="1" applyFill="1" applyBorder="1" applyAlignment="1">
      <alignment horizontal="center" vertical="center" wrapText="1"/>
    </xf>
    <xf numFmtId="0" fontId="3" fillId="30" borderId="44" xfId="3" applyFont="1" applyFill="1" applyBorder="1" applyAlignment="1">
      <alignment horizontal="center" vertical="center" wrapText="1"/>
    </xf>
    <xf numFmtId="3" fontId="3" fillId="0" borderId="9" xfId="3" applyNumberFormat="1" applyFont="1" applyBorder="1" applyAlignment="1">
      <alignment vertical="center"/>
    </xf>
    <xf numFmtId="9" fontId="10" fillId="24" borderId="62" xfId="2" applyFont="1" applyFill="1" applyBorder="1" applyAlignment="1">
      <alignment horizontal="center" vertical="center" wrapText="1"/>
    </xf>
    <xf numFmtId="41" fontId="6" fillId="0" borderId="80" xfId="3" applyNumberFormat="1" applyFont="1" applyBorder="1" applyAlignment="1">
      <alignment horizontal="right" vertical="center"/>
    </xf>
    <xf numFmtId="3" fontId="3" fillId="25" borderId="77" xfId="3" applyNumberFormat="1" applyFont="1" applyFill="1" applyBorder="1" applyAlignment="1">
      <alignment vertical="center"/>
    </xf>
    <xf numFmtId="3" fontId="3" fillId="25" borderId="78" xfId="3" applyNumberFormat="1" applyFont="1" applyFill="1" applyBorder="1" applyAlignment="1">
      <alignment vertical="center"/>
    </xf>
    <xf numFmtId="3" fontId="3" fillId="31" borderId="69" xfId="3" applyNumberFormat="1" applyFont="1" applyFill="1" applyBorder="1" applyAlignment="1">
      <alignment vertical="center"/>
    </xf>
    <xf numFmtId="0" fontId="3" fillId="8" borderId="37" xfId="3" applyFont="1" applyFill="1" applyBorder="1" applyAlignment="1">
      <alignment horizontal="center" vertical="center" wrapText="1"/>
    </xf>
    <xf numFmtId="3" fontId="3" fillId="2" borderId="80" xfId="3" applyNumberFormat="1" applyFont="1" applyFill="1" applyBorder="1" applyAlignment="1">
      <alignment vertical="center"/>
    </xf>
    <xf numFmtId="0" fontId="3" fillId="32" borderId="42" xfId="3" applyFont="1" applyFill="1" applyBorder="1" applyAlignment="1">
      <alignment horizontal="center" vertical="center" wrapText="1"/>
    </xf>
    <xf numFmtId="0" fontId="3" fillId="32" borderId="41" xfId="3" applyFont="1" applyFill="1" applyBorder="1" applyAlignment="1">
      <alignment horizontal="center" vertical="center" wrapText="1"/>
    </xf>
    <xf numFmtId="0" fontId="3" fillId="32" borderId="44" xfId="3" applyFont="1" applyFill="1" applyBorder="1" applyAlignment="1">
      <alignment horizontal="center" vertical="center" wrapText="1"/>
    </xf>
    <xf numFmtId="0" fontId="3" fillId="32" borderId="45" xfId="3" applyFont="1" applyFill="1" applyBorder="1" applyAlignment="1">
      <alignment horizontal="center" vertical="center" wrapText="1"/>
    </xf>
    <xf numFmtId="0" fontId="10" fillId="2" borderId="68" xfId="3" quotePrefix="1" applyFont="1" applyFill="1" applyBorder="1" applyAlignment="1">
      <alignment horizontal="left" vertical="center" wrapText="1"/>
    </xf>
    <xf numFmtId="3" fontId="3" fillId="2" borderId="79" xfId="3" applyNumberFormat="1" applyFont="1" applyFill="1" applyBorder="1" applyAlignment="1">
      <alignment vertical="center"/>
    </xf>
    <xf numFmtId="0" fontId="3" fillId="8" borderId="36" xfId="3" applyFont="1" applyFill="1" applyBorder="1" applyAlignment="1">
      <alignment horizontal="center" vertical="center" wrapText="1"/>
    </xf>
    <xf numFmtId="0" fontId="0" fillId="33" borderId="0" xfId="0" applyFill="1"/>
    <xf numFmtId="0" fontId="3" fillId="0" borderId="48" xfId="3" applyFont="1" applyFill="1" applyBorder="1" applyAlignment="1">
      <alignment horizontal="center" vertical="center" wrapText="1"/>
    </xf>
    <xf numFmtId="3" fontId="3" fillId="0" borderId="9" xfId="3" applyNumberFormat="1" applyFont="1" applyFill="1" applyBorder="1" applyAlignment="1">
      <alignment vertical="center"/>
    </xf>
    <xf numFmtId="3" fontId="3" fillId="0" borderId="9" xfId="3" applyNumberFormat="1" applyFont="1" applyFill="1" applyBorder="1" applyAlignment="1">
      <alignment vertical="center" wrapText="1"/>
    </xf>
    <xf numFmtId="3" fontId="3" fillId="16" borderId="77" xfId="3" applyNumberFormat="1" applyFont="1" applyFill="1" applyBorder="1" applyAlignment="1">
      <alignment vertical="center"/>
    </xf>
    <xf numFmtId="3" fontId="5" fillId="22" borderId="64" xfId="3" applyNumberFormat="1" applyFont="1" applyFill="1" applyBorder="1" applyAlignment="1">
      <alignment horizontal="center" vertical="center" wrapText="1"/>
    </xf>
    <xf numFmtId="3" fontId="5" fillId="20" borderId="3" xfId="3" applyNumberFormat="1" applyFont="1" applyFill="1" applyBorder="1" applyAlignment="1">
      <alignment vertical="center" wrapText="1"/>
    </xf>
    <xf numFmtId="3" fontId="5" fillId="20" borderId="3" xfId="3" applyNumberFormat="1" applyFont="1" applyFill="1" applyBorder="1" applyAlignment="1">
      <alignment horizontal="center" vertical="center" wrapText="1"/>
    </xf>
    <xf numFmtId="3" fontId="5" fillId="20" borderId="2" xfId="3" applyNumberFormat="1" applyFont="1" applyFill="1" applyBorder="1" applyAlignment="1">
      <alignment horizontal="center" vertical="center" wrapText="1"/>
    </xf>
    <xf numFmtId="3" fontId="5" fillId="20" borderId="64" xfId="3" applyNumberFormat="1" applyFont="1" applyFill="1" applyBorder="1" applyAlignment="1">
      <alignment horizontal="center" vertical="center" wrapText="1"/>
    </xf>
    <xf numFmtId="9" fontId="10" fillId="20" borderId="65" xfId="2" applyFont="1" applyFill="1" applyBorder="1" applyAlignment="1">
      <alignment horizontal="center" vertical="center" wrapText="1"/>
    </xf>
    <xf numFmtId="9" fontId="10" fillId="20" borderId="66" xfId="2" applyFont="1" applyFill="1" applyBorder="1" applyAlignment="1">
      <alignment horizontal="center" vertical="center" wrapText="1"/>
    </xf>
    <xf numFmtId="3" fontId="5" fillId="0" borderId="58" xfId="3" applyNumberFormat="1" applyFont="1" applyBorder="1" applyAlignment="1">
      <alignment vertical="center"/>
    </xf>
    <xf numFmtId="3" fontId="3" fillId="0" borderId="82" xfId="3" applyNumberFormat="1" applyFont="1" applyBorder="1" applyAlignment="1">
      <alignment horizontal="center" vertical="center"/>
    </xf>
    <xf numFmtId="3" fontId="3" fillId="0" borderId="73" xfId="3" applyNumberFormat="1" applyFont="1" applyBorder="1" applyAlignment="1">
      <alignment horizontal="center" vertical="center"/>
    </xf>
    <xf numFmtId="3" fontId="3" fillId="0" borderId="81" xfId="3" applyNumberFormat="1" applyFont="1" applyBorder="1" applyAlignment="1">
      <alignment horizontal="center" vertical="center"/>
    </xf>
    <xf numFmtId="3" fontId="10" fillId="0" borderId="9" xfId="3" applyNumberFormat="1" applyFont="1" applyFill="1" applyBorder="1" applyAlignment="1">
      <alignment vertical="center" wrapText="1"/>
    </xf>
    <xf numFmtId="3" fontId="3" fillId="0" borderId="70" xfId="3" applyNumberFormat="1" applyFont="1" applyFill="1" applyBorder="1" applyAlignment="1">
      <alignment vertical="center"/>
    </xf>
    <xf numFmtId="3" fontId="3" fillId="0" borderId="72" xfId="3" applyNumberFormat="1" applyFont="1" applyFill="1" applyBorder="1" applyAlignment="1">
      <alignment vertical="center"/>
    </xf>
    <xf numFmtId="3" fontId="3" fillId="0" borderId="15" xfId="3" applyNumberFormat="1" applyFont="1" applyFill="1" applyBorder="1" applyAlignment="1">
      <alignment vertical="center"/>
    </xf>
    <xf numFmtId="0" fontId="8" fillId="0" borderId="0" xfId="0" applyFont="1" applyBorder="1"/>
    <xf numFmtId="0" fontId="3" fillId="0" borderId="0" xfId="3" applyFont="1" applyBorder="1" applyAlignment="1">
      <alignment horizontal="left" vertical="center"/>
    </xf>
    <xf numFmtId="0" fontId="8" fillId="0" borderId="0" xfId="0" applyFont="1" applyFill="1" applyBorder="1"/>
    <xf numFmtId="164" fontId="8" fillId="0" borderId="0" xfId="1" applyNumberFormat="1" applyFont="1" applyBorder="1" applyAlignment="1">
      <alignment horizontal="center" vertical="center"/>
    </xf>
    <xf numFmtId="3" fontId="6" fillId="0" borderId="58" xfId="3" applyNumberFormat="1" applyFont="1" applyBorder="1" applyAlignment="1">
      <alignment horizontal="right" vertical="center"/>
    </xf>
    <xf numFmtId="3" fontId="6" fillId="0" borderId="0" xfId="3" applyNumberFormat="1" applyFont="1" applyBorder="1" applyAlignment="1">
      <alignment vertical="center"/>
    </xf>
    <xf numFmtId="0" fontId="0" fillId="0" borderId="0" xfId="0" applyBorder="1"/>
    <xf numFmtId="3" fontId="8" fillId="0" borderId="0" xfId="0" applyNumberFormat="1" applyFont="1"/>
    <xf numFmtId="165" fontId="8" fillId="0" borderId="0" xfId="2" applyNumberFormat="1" applyFont="1"/>
    <xf numFmtId="0" fontId="3" fillId="0" borderId="67" xfId="3" applyFont="1" applyFill="1" applyBorder="1" applyAlignment="1">
      <alignment horizontal="left" vertical="center"/>
    </xf>
    <xf numFmtId="3" fontId="3" fillId="0" borderId="68" xfId="3" applyNumberFormat="1" applyFont="1" applyFill="1" applyBorder="1" applyAlignment="1">
      <alignment vertical="center"/>
    </xf>
    <xf numFmtId="41" fontId="6" fillId="0" borderId="79" xfId="3" applyNumberFormat="1" applyFont="1" applyFill="1" applyBorder="1" applyAlignment="1">
      <alignment horizontal="right" vertical="center"/>
    </xf>
    <xf numFmtId="41" fontId="6" fillId="0" borderId="80" xfId="3" applyNumberFormat="1" applyFont="1" applyFill="1" applyBorder="1" applyAlignment="1">
      <alignment horizontal="right" vertical="center"/>
    </xf>
    <xf numFmtId="0" fontId="3" fillId="0" borderId="83" xfId="3" applyFont="1" applyFill="1" applyBorder="1" applyAlignment="1">
      <alignment horizontal="center" vertical="center" wrapText="1"/>
    </xf>
    <xf numFmtId="0" fontId="3" fillId="0" borderId="84" xfId="3" applyFont="1" applyFill="1" applyBorder="1" applyAlignment="1">
      <alignment horizontal="center" vertical="center" wrapText="1"/>
    </xf>
    <xf numFmtId="0" fontId="3" fillId="0" borderId="85" xfId="3" applyFont="1" applyFill="1" applyBorder="1" applyAlignment="1">
      <alignment horizontal="center" vertical="center" wrapText="1"/>
    </xf>
    <xf numFmtId="0" fontId="3" fillId="13" borderId="84" xfId="3" applyFont="1" applyFill="1" applyBorder="1" applyAlignment="1">
      <alignment horizontal="center" vertical="center" wrapText="1"/>
    </xf>
    <xf numFmtId="0" fontId="3" fillId="0" borderId="86" xfId="3" applyFont="1" applyFill="1" applyBorder="1" applyAlignment="1">
      <alignment horizontal="center" vertical="center" wrapText="1"/>
    </xf>
    <xf numFmtId="0" fontId="3" fillId="0" borderId="87" xfId="3" applyFont="1" applyFill="1" applyBorder="1" applyAlignment="1">
      <alignment horizontal="center" vertical="center" wrapText="1"/>
    </xf>
    <xf numFmtId="0" fontId="3" fillId="0" borderId="33" xfId="3" applyFont="1" applyFill="1" applyBorder="1" applyAlignment="1">
      <alignment horizontal="center" vertical="center" wrapText="1"/>
    </xf>
    <xf numFmtId="0" fontId="3" fillId="13" borderId="36" xfId="3" applyFont="1" applyFill="1" applyBorder="1" applyAlignment="1">
      <alignment horizontal="center" vertical="center" wrapText="1"/>
    </xf>
    <xf numFmtId="0" fontId="3" fillId="13" borderId="34" xfId="3" applyFont="1" applyFill="1" applyBorder="1" applyAlignment="1">
      <alignment horizontal="center" vertical="center" wrapText="1"/>
    </xf>
    <xf numFmtId="0" fontId="3" fillId="13" borderId="48" xfId="3" applyFont="1" applyFill="1" applyBorder="1" applyAlignment="1">
      <alignment horizontal="center" vertical="center" wrapText="1"/>
    </xf>
    <xf numFmtId="0" fontId="3" fillId="13" borderId="83" xfId="3" applyFont="1" applyFill="1" applyBorder="1" applyAlignment="1">
      <alignment horizontal="center" vertical="center" wrapText="1"/>
    </xf>
    <xf numFmtId="0" fontId="10" fillId="2" borderId="68" xfId="3" applyFont="1" applyFill="1" applyBorder="1" applyAlignment="1">
      <alignment horizontal="left" vertical="center" wrapText="1"/>
    </xf>
    <xf numFmtId="3" fontId="6" fillId="2" borderId="80" xfId="3" applyNumberFormat="1" applyFont="1" applyFill="1" applyBorder="1" applyAlignment="1">
      <alignment vertical="center"/>
    </xf>
    <xf numFmtId="0" fontId="3" fillId="0" borderId="68" xfId="3" applyFont="1" applyBorder="1" applyAlignment="1">
      <alignment horizontal="left" vertical="center" wrapText="1"/>
    </xf>
    <xf numFmtId="3" fontId="3" fillId="0" borderId="68" xfId="3" applyNumberFormat="1" applyFont="1" applyBorder="1" applyAlignment="1">
      <alignment vertical="center" wrapText="1"/>
    </xf>
    <xf numFmtId="41" fontId="3" fillId="0" borderId="79" xfId="3" applyNumberFormat="1" applyFont="1" applyBorder="1" applyAlignment="1">
      <alignment horizontal="right" vertical="center"/>
    </xf>
    <xf numFmtId="0" fontId="3" fillId="0" borderId="83" xfId="3" applyFont="1" applyBorder="1" applyAlignment="1">
      <alignment horizontal="center" vertical="center" wrapText="1"/>
    </xf>
    <xf numFmtId="0" fontId="3" fillId="13" borderId="85" xfId="3" applyFont="1" applyFill="1" applyBorder="1" applyAlignment="1">
      <alignment horizontal="center" vertical="center" wrapText="1"/>
    </xf>
    <xf numFmtId="0" fontId="3" fillId="0" borderId="84" xfId="3" applyFont="1" applyBorder="1" applyAlignment="1">
      <alignment horizontal="center" vertical="center" wrapText="1"/>
    </xf>
    <xf numFmtId="0" fontId="3" fillId="0" borderId="87" xfId="3" applyFont="1" applyBorder="1" applyAlignment="1">
      <alignment horizontal="center" vertical="center" wrapText="1"/>
    </xf>
    <xf numFmtId="0" fontId="3" fillId="0" borderId="85" xfId="3" applyFont="1" applyBorder="1" applyAlignment="1">
      <alignment horizontal="center" vertical="center" wrapText="1"/>
    </xf>
    <xf numFmtId="0" fontId="3" fillId="13" borderId="35" xfId="3" applyFont="1" applyFill="1" applyBorder="1" applyAlignment="1">
      <alignment horizontal="center" vertical="center" wrapText="1"/>
    </xf>
    <xf numFmtId="0" fontId="3" fillId="2" borderId="67" xfId="3" quotePrefix="1" applyFont="1" applyFill="1" applyBorder="1" applyAlignment="1">
      <alignment horizontal="left" vertical="center"/>
    </xf>
    <xf numFmtId="3" fontId="10" fillId="2" borderId="68" xfId="3" applyNumberFormat="1" applyFont="1" applyFill="1" applyBorder="1" applyAlignment="1">
      <alignment vertical="center" wrapText="1"/>
    </xf>
    <xf numFmtId="0" fontId="3" fillId="0" borderId="91" xfId="3" applyFont="1" applyFill="1" applyBorder="1" applyAlignment="1">
      <alignment vertical="center" wrapText="1"/>
    </xf>
    <xf numFmtId="0" fontId="3" fillId="0" borderId="92" xfId="3" applyFont="1" applyBorder="1" applyAlignment="1">
      <alignment horizontal="left" vertical="center" wrapText="1"/>
    </xf>
    <xf numFmtId="0" fontId="3" fillId="13" borderId="33" xfId="3" applyFont="1" applyFill="1" applyBorder="1" applyAlignment="1">
      <alignment horizontal="center" vertical="center" wrapText="1"/>
    </xf>
    <xf numFmtId="0" fontId="3" fillId="0" borderId="36" xfId="3" applyFont="1" applyFill="1" applyBorder="1" applyAlignment="1">
      <alignment horizontal="center" vertical="center" wrapText="1"/>
    </xf>
    <xf numFmtId="0" fontId="3" fillId="13" borderId="86" xfId="3" applyFont="1" applyFill="1" applyBorder="1" applyAlignment="1">
      <alignment horizontal="center" vertical="center" wrapText="1"/>
    </xf>
    <xf numFmtId="3" fontId="3" fillId="0" borderId="79" xfId="3" applyNumberFormat="1" applyFont="1" applyFill="1" applyBorder="1" applyAlignment="1">
      <alignment vertical="center"/>
    </xf>
    <xf numFmtId="3" fontId="3" fillId="0" borderId="80" xfId="3" applyNumberFormat="1" applyFont="1" applyFill="1" applyBorder="1" applyAlignment="1">
      <alignment vertical="center"/>
    </xf>
    <xf numFmtId="165" fontId="13" fillId="0" borderId="59" xfId="2" applyNumberFormat="1" applyFont="1" applyFill="1" applyBorder="1" applyAlignment="1">
      <alignment horizontal="right" vertical="center"/>
    </xf>
    <xf numFmtId="3" fontId="6" fillId="2" borderId="79" xfId="3" applyNumberFormat="1" applyFont="1" applyFill="1" applyBorder="1" applyAlignment="1">
      <alignment vertical="center"/>
    </xf>
    <xf numFmtId="41" fontId="6" fillId="21" borderId="79" xfId="3" applyNumberFormat="1" applyFont="1" applyFill="1" applyBorder="1" applyAlignment="1">
      <alignment horizontal="right" vertical="center"/>
    </xf>
    <xf numFmtId="41" fontId="3" fillId="0" borderId="80" xfId="3" applyNumberFormat="1" applyFont="1" applyFill="1" applyBorder="1" applyAlignment="1">
      <alignment horizontal="right" vertical="center"/>
    </xf>
    <xf numFmtId="0" fontId="5" fillId="20" borderId="2" xfId="3" applyFont="1" applyFill="1" applyBorder="1" applyAlignment="1">
      <alignment horizontal="left" vertical="center" wrapText="1"/>
    </xf>
    <xf numFmtId="0" fontId="5" fillId="20" borderId="12" xfId="3" applyFont="1" applyFill="1" applyBorder="1" applyAlignment="1">
      <alignment horizontal="left" vertical="center" wrapText="1"/>
    </xf>
    <xf numFmtId="0" fontId="5" fillId="24" borderId="3" xfId="3" applyFont="1" applyFill="1" applyBorder="1" applyAlignment="1">
      <alignment horizontal="left" vertical="center" wrapText="1"/>
    </xf>
    <xf numFmtId="0" fontId="5" fillId="24" borderId="12" xfId="3" applyFont="1" applyFill="1" applyBorder="1" applyAlignment="1">
      <alignment horizontal="left" vertical="center" wrapText="1"/>
    </xf>
    <xf numFmtId="0" fontId="5" fillId="20" borderId="2" xfId="3" applyFont="1" applyFill="1" applyBorder="1" applyAlignment="1">
      <alignment horizontal="left" vertical="center" wrapText="1"/>
    </xf>
    <xf numFmtId="0" fontId="5" fillId="20" borderId="3" xfId="3" applyFont="1" applyFill="1" applyBorder="1" applyAlignment="1">
      <alignment horizontal="left" vertical="center" wrapText="1"/>
    </xf>
    <xf numFmtId="0" fontId="5" fillId="20" borderId="12" xfId="3" applyFont="1" applyFill="1" applyBorder="1" applyAlignment="1">
      <alignment horizontal="left" vertical="center" wrapText="1"/>
    </xf>
    <xf numFmtId="0" fontId="5" fillId="9" borderId="3" xfId="3" applyFont="1" applyFill="1" applyBorder="1" applyAlignment="1">
      <alignment horizontal="left" vertical="center" wrapText="1"/>
    </xf>
    <xf numFmtId="0" fontId="5" fillId="9" borderId="12" xfId="3" applyFont="1" applyFill="1" applyBorder="1" applyAlignment="1">
      <alignment horizontal="left" vertical="center" wrapText="1"/>
    </xf>
    <xf numFmtId="0" fontId="5" fillId="14" borderId="3" xfId="3" applyFont="1" applyFill="1" applyBorder="1" applyAlignment="1">
      <alignment horizontal="left" vertical="center" wrapText="1"/>
    </xf>
    <xf numFmtId="0" fontId="5" fillId="14" borderId="12" xfId="3" applyFont="1" applyFill="1" applyBorder="1" applyAlignment="1">
      <alignment horizontal="left" vertical="center" wrapText="1"/>
    </xf>
    <xf numFmtId="0" fontId="5" fillId="22" borderId="3" xfId="3" applyFont="1" applyFill="1" applyBorder="1" applyAlignment="1">
      <alignment horizontal="left" vertical="center" wrapText="1"/>
    </xf>
    <xf numFmtId="0" fontId="5" fillId="22" borderId="12" xfId="3" applyFont="1" applyFill="1" applyBorder="1" applyAlignment="1">
      <alignment horizontal="left" vertical="center" wrapText="1"/>
    </xf>
    <xf numFmtId="0" fontId="2" fillId="0" borderId="0" xfId="3" applyFont="1" applyFill="1" applyBorder="1" applyAlignment="1">
      <alignment horizontal="center" vertical="center" wrapText="1"/>
    </xf>
    <xf numFmtId="0" fontId="5" fillId="3" borderId="2" xfId="3" applyFont="1" applyFill="1" applyBorder="1" applyAlignment="1">
      <alignment horizontal="center" vertical="center" wrapText="1"/>
    </xf>
    <xf numFmtId="0" fontId="5" fillId="3" borderId="3" xfId="3" applyFont="1" applyFill="1" applyBorder="1" applyAlignment="1">
      <alignment horizontal="center" vertical="center" wrapText="1"/>
    </xf>
    <xf numFmtId="0" fontId="5" fillId="3" borderId="4" xfId="3" applyFont="1" applyFill="1" applyBorder="1" applyAlignment="1">
      <alignment horizontal="center" vertical="center" wrapText="1"/>
    </xf>
    <xf numFmtId="0" fontId="5" fillId="3" borderId="7" xfId="3" applyFont="1" applyFill="1" applyBorder="1" applyAlignment="1">
      <alignment horizontal="center" vertical="center" wrapText="1"/>
    </xf>
    <xf numFmtId="0" fontId="5" fillId="3" borderId="0" xfId="3" applyFont="1" applyFill="1" applyBorder="1" applyAlignment="1">
      <alignment horizontal="center" vertical="center" wrapText="1"/>
    </xf>
    <xf numFmtId="0" fontId="5" fillId="3" borderId="1" xfId="3" applyFont="1" applyFill="1" applyBorder="1" applyAlignment="1">
      <alignment horizontal="center" vertical="center" wrapText="1"/>
    </xf>
    <xf numFmtId="0" fontId="5" fillId="3" borderId="11" xfId="3" applyFont="1" applyFill="1" applyBorder="1" applyAlignment="1">
      <alignment horizontal="center" vertical="center" wrapText="1"/>
    </xf>
    <xf numFmtId="0" fontId="5" fillId="3" borderId="12" xfId="3" applyFont="1" applyFill="1" applyBorder="1" applyAlignment="1">
      <alignment horizontal="center" vertical="center" wrapText="1"/>
    </xf>
    <xf numFmtId="0" fontId="5" fillId="3" borderId="13" xfId="3" applyFont="1" applyFill="1" applyBorder="1" applyAlignment="1">
      <alignment horizontal="center" vertical="center" wrapText="1"/>
    </xf>
    <xf numFmtId="0" fontId="2" fillId="3" borderId="5" xfId="3" applyFont="1" applyFill="1" applyBorder="1" applyAlignment="1">
      <alignment horizontal="center" vertical="center" wrapText="1"/>
    </xf>
    <xf numFmtId="0" fontId="2" fillId="3" borderId="6" xfId="3" applyFont="1" applyFill="1" applyBorder="1" applyAlignment="1">
      <alignment horizontal="center" vertical="center" wrapText="1"/>
    </xf>
    <xf numFmtId="0" fontId="2" fillId="3" borderId="17" xfId="3" applyFont="1" applyFill="1" applyBorder="1" applyAlignment="1">
      <alignment horizontal="center" vertical="center" wrapText="1"/>
    </xf>
    <xf numFmtId="0" fontId="2" fillId="3" borderId="8" xfId="3" applyFont="1" applyFill="1" applyBorder="1" applyAlignment="1">
      <alignment horizontal="center" vertical="center" wrapText="1"/>
    </xf>
    <xf numFmtId="0" fontId="2" fillId="3" borderId="9" xfId="3" applyFont="1" applyFill="1" applyBorder="1" applyAlignment="1">
      <alignment horizontal="center" vertical="center" wrapText="1"/>
    </xf>
    <xf numFmtId="0" fontId="2" fillId="3" borderId="10" xfId="3" applyFont="1" applyFill="1" applyBorder="1" applyAlignment="1">
      <alignment horizontal="center" vertical="center" wrapText="1"/>
    </xf>
    <xf numFmtId="0" fontId="5" fillId="4" borderId="5" xfId="3" applyFont="1" applyFill="1" applyBorder="1" applyAlignment="1">
      <alignment horizontal="left" vertical="center" wrapText="1"/>
    </xf>
    <xf numFmtId="0" fontId="5" fillId="4" borderId="6" xfId="3" applyFont="1" applyFill="1" applyBorder="1" applyAlignment="1">
      <alignment horizontal="left" vertical="center" wrapText="1"/>
    </xf>
    <xf numFmtId="0" fontId="5" fillId="4" borderId="17" xfId="3" applyFont="1" applyFill="1" applyBorder="1" applyAlignment="1">
      <alignment horizontal="left" vertical="center" wrapText="1"/>
    </xf>
    <xf numFmtId="0" fontId="5" fillId="6" borderId="88" xfId="3" applyFont="1" applyFill="1" applyBorder="1" applyAlignment="1">
      <alignment horizontal="left" vertical="center" wrapText="1"/>
    </xf>
    <xf numFmtId="0" fontId="5" fillId="6" borderId="89" xfId="3" applyFont="1" applyFill="1" applyBorder="1" applyAlignment="1">
      <alignment horizontal="left" vertical="center" wrapText="1"/>
    </xf>
    <xf numFmtId="0" fontId="5" fillId="6" borderId="90" xfId="3" applyFont="1" applyFill="1" applyBorder="1" applyAlignment="1">
      <alignment horizontal="left" vertical="center" wrapText="1"/>
    </xf>
    <xf numFmtId="0" fontId="5" fillId="9" borderId="5" xfId="3" applyFont="1" applyFill="1" applyBorder="1" applyAlignment="1">
      <alignment horizontal="left" vertical="center" wrapText="1"/>
    </xf>
    <xf numFmtId="0" fontId="5" fillId="9" borderId="6" xfId="3" applyFont="1" applyFill="1" applyBorder="1" applyAlignment="1">
      <alignment horizontal="left" vertical="center" wrapText="1"/>
    </xf>
    <xf numFmtId="0" fontId="5" fillId="9" borderId="17" xfId="3" applyFont="1" applyFill="1" applyBorder="1" applyAlignment="1">
      <alignment horizontal="left" vertical="center" wrapText="1"/>
    </xf>
    <xf numFmtId="0" fontId="5" fillId="11" borderId="23" xfId="3" applyFont="1" applyFill="1" applyBorder="1" applyAlignment="1">
      <alignment horizontal="left" vertical="center" wrapText="1"/>
    </xf>
    <xf numFmtId="0" fontId="5" fillId="11" borderId="24" xfId="3" applyFont="1" applyFill="1" applyBorder="1" applyAlignment="1">
      <alignment horizontal="left" vertical="center" wrapText="1"/>
    </xf>
    <xf numFmtId="0" fontId="5" fillId="11" borderId="25" xfId="3" applyFont="1" applyFill="1" applyBorder="1" applyAlignment="1">
      <alignment horizontal="left" vertical="center" wrapText="1"/>
    </xf>
    <xf numFmtId="0" fontId="5" fillId="6" borderId="23" xfId="3" applyFont="1" applyFill="1" applyBorder="1" applyAlignment="1">
      <alignment horizontal="left" vertical="center" wrapText="1"/>
    </xf>
    <xf numFmtId="0" fontId="5" fillId="6" borderId="24" xfId="3" applyFont="1" applyFill="1" applyBorder="1" applyAlignment="1">
      <alignment horizontal="left" vertical="center" wrapText="1"/>
    </xf>
    <xf numFmtId="0" fontId="5" fillId="6" borderId="25" xfId="3" applyFont="1" applyFill="1" applyBorder="1" applyAlignment="1">
      <alignment horizontal="left" vertical="center" wrapText="1"/>
    </xf>
    <xf numFmtId="0" fontId="5" fillId="14" borderId="5" xfId="3" applyFont="1" applyFill="1" applyBorder="1" applyAlignment="1">
      <alignment horizontal="left" vertical="center" wrapText="1"/>
    </xf>
    <xf numFmtId="0" fontId="5" fillId="14" borderId="6" xfId="3" applyFont="1" applyFill="1" applyBorder="1" applyAlignment="1">
      <alignment horizontal="left" vertical="center" wrapText="1"/>
    </xf>
    <xf numFmtId="0" fontId="5" fillId="14" borderId="17" xfId="3" applyFont="1" applyFill="1" applyBorder="1" applyAlignment="1">
      <alignment horizontal="left" vertical="center" wrapText="1"/>
    </xf>
    <xf numFmtId="0" fontId="5" fillId="16" borderId="23" xfId="3" applyFont="1" applyFill="1" applyBorder="1" applyAlignment="1">
      <alignment horizontal="left" vertical="center" wrapText="1"/>
    </xf>
    <xf numFmtId="0" fontId="5" fillId="16" borderId="24" xfId="3" applyFont="1" applyFill="1" applyBorder="1" applyAlignment="1">
      <alignment horizontal="left" vertical="center" wrapText="1"/>
    </xf>
    <xf numFmtId="0" fontId="5" fillId="16" borderId="25" xfId="3" applyFont="1" applyFill="1" applyBorder="1" applyAlignment="1">
      <alignment horizontal="left" vertical="center" wrapText="1"/>
    </xf>
    <xf numFmtId="0" fontId="5" fillId="24" borderId="5" xfId="3" applyFont="1" applyFill="1" applyBorder="1" applyAlignment="1">
      <alignment horizontal="left" vertical="center" wrapText="1"/>
    </xf>
    <xf numFmtId="0" fontId="5" fillId="24" borderId="6" xfId="3" applyFont="1" applyFill="1" applyBorder="1" applyAlignment="1">
      <alignment horizontal="left" vertical="center" wrapText="1"/>
    </xf>
    <xf numFmtId="0" fontId="5" fillId="24" borderId="17" xfId="3" applyFont="1" applyFill="1" applyBorder="1" applyAlignment="1">
      <alignment horizontal="left" vertical="center" wrapText="1"/>
    </xf>
    <xf numFmtId="0" fontId="5" fillId="25" borderId="23" xfId="3" applyFont="1" applyFill="1" applyBorder="1" applyAlignment="1">
      <alignment horizontal="left" vertical="center" wrapText="1"/>
    </xf>
    <xf numFmtId="0" fontId="5" fillId="25" borderId="24" xfId="3" applyFont="1" applyFill="1" applyBorder="1" applyAlignment="1">
      <alignment horizontal="left" vertical="center" wrapText="1"/>
    </xf>
    <xf numFmtId="0" fontId="5" fillId="25" borderId="25" xfId="3" applyFont="1" applyFill="1" applyBorder="1" applyAlignment="1">
      <alignment horizontal="left" vertical="center" wrapText="1"/>
    </xf>
    <xf numFmtId="0" fontId="5" fillId="22" borderId="5" xfId="3" applyFont="1" applyFill="1" applyBorder="1" applyAlignment="1">
      <alignment horizontal="left" vertical="center" wrapText="1"/>
    </xf>
    <xf numFmtId="0" fontId="5" fillId="22" borderId="6" xfId="3" applyFont="1" applyFill="1" applyBorder="1" applyAlignment="1">
      <alignment horizontal="left" vertical="center" wrapText="1"/>
    </xf>
    <xf numFmtId="0" fontId="5" fillId="22" borderId="17" xfId="3" applyFont="1" applyFill="1" applyBorder="1" applyAlignment="1">
      <alignment horizontal="left" vertical="center" wrapText="1"/>
    </xf>
    <xf numFmtId="0" fontId="5" fillId="23" borderId="23" xfId="3" applyFont="1" applyFill="1" applyBorder="1" applyAlignment="1">
      <alignment horizontal="left" vertical="center" wrapText="1"/>
    </xf>
    <xf numFmtId="0" fontId="5" fillId="23" borderId="24" xfId="3" applyFont="1" applyFill="1" applyBorder="1" applyAlignment="1">
      <alignment horizontal="left" vertical="center" wrapText="1"/>
    </xf>
    <xf numFmtId="0" fontId="5" fillId="23" borderId="25" xfId="3" applyFont="1" applyFill="1" applyBorder="1" applyAlignment="1">
      <alignment horizontal="left" vertical="center" wrapText="1"/>
    </xf>
  </cellXfs>
  <cellStyles count="4">
    <cellStyle name="Milliers" xfId="1" builtinId="3"/>
    <cellStyle name="Normal" xfId="0" builtinId="0"/>
    <cellStyle name="Normal 2" xfId="3"/>
    <cellStyle name="Pourcentage" xfId="2" builtinId="5"/>
  </cellStyles>
  <dxfs count="0"/>
  <tableStyles count="0" defaultTableStyle="TableStyleMedium2" defaultPivotStyle="PivotStyleLight16"/>
  <colors>
    <mruColors>
      <color rgb="FFCCC0DA"/>
      <color rgb="FFD9E5BC"/>
      <color rgb="FFE7E6E6"/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balique\Documents\A00705_GEF%20Malawi\7_FinalProDoc_CEO\2_Prodoc_10411\Appendix4-5-7_GEF10411_WkPlan-DetailedBudget-ProcPlan_GEF_AfD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RLi/Verdonck/A00852_OMVG_UNCDF/10_Livrables_finaux/L2_SchemasSectoriels/1_Version_Provisoire/1_AGRIC_CadreLogique_Budget_VF_FR_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shboard_Budget_COFIN"/>
      <sheetName val="App4_Work Plan"/>
      <sheetName val="App5-1_Budget_Summary"/>
      <sheetName val="App5-2_Detailed Budget"/>
      <sheetName val="App7-1_ProcPlan_Costs_by_Item"/>
      <sheetName val="App7-2_Budget_GEFTemplate_Year"/>
      <sheetName val="Logframe"/>
      <sheetName val="TrainingCosts_fromMauri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 ResumePT"/>
      <sheetName val="ProgrMesures_Budget_PT"/>
      <sheetName val="Chronogramme_PT"/>
      <sheetName val="Budget Resume_FR"/>
      <sheetName val="ProgrMesures_Budget_FR"/>
      <sheetName val="Chronogramme_FR"/>
      <sheetName val="Sheet1"/>
      <sheetName val="Budget Resume_EN"/>
      <sheetName val="ProgrMesures_Budget_EN"/>
      <sheetName val="Chronogramme_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B3" t="str">
            <v>Sectoral Plan Agriculture - Livestock - Forestry - Fisheries</v>
          </cell>
        </row>
        <row r="5">
          <cell r="B5" t="str">
            <v>Strategic axis 1</v>
          </cell>
        </row>
        <row r="40">
          <cell r="B40" t="str">
            <v>Strategic axis 2</v>
          </cell>
        </row>
        <row r="65">
          <cell r="B65" t="str">
            <v>Strategic axis 3</v>
          </cell>
        </row>
        <row r="77">
          <cell r="B77" t="str">
            <v>Strategic axis 4</v>
          </cell>
        </row>
        <row r="92">
          <cell r="B92" t="str">
            <v>Strategic axis 5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20"/>
  <sheetViews>
    <sheetView showGridLines="0" zoomScale="110" zoomScaleNormal="110" workbookViewId="0">
      <selection activeCell="B2" sqref="B2:I15"/>
    </sheetView>
  </sheetViews>
  <sheetFormatPr baseColWidth="10" defaultColWidth="11" defaultRowHeight="12" x14ac:dyDescent="0.2"/>
  <cols>
    <col min="1" max="1" width="5.5" style="81" customWidth="1"/>
    <col min="2" max="2" width="22.125" style="82" bestFit="1" customWidth="1"/>
    <col min="3" max="3" width="53.375" style="82" customWidth="1"/>
    <col min="4" max="4" width="11" style="82" customWidth="1"/>
    <col min="5" max="5" width="1.125" style="81" customWidth="1"/>
    <col min="6" max="6" width="8.375" style="82" hidden="1" customWidth="1"/>
    <col min="7" max="9" width="10.625" style="82" customWidth="1"/>
    <col min="10" max="10" width="2" style="82" customWidth="1"/>
    <col min="11" max="11" width="12.5" style="82" bestFit="1" customWidth="1"/>
    <col min="12" max="15" width="11" style="82"/>
    <col min="16" max="16" width="14.5" style="82" bestFit="1" customWidth="1"/>
    <col min="17" max="16384" width="11" style="82"/>
  </cols>
  <sheetData>
    <row r="1" spans="1:16" ht="12.75" thickBot="1" x14ac:dyDescent="0.25">
      <c r="K1" s="83"/>
    </row>
    <row r="2" spans="1:16" ht="12.75" thickBot="1" x14ac:dyDescent="0.25">
      <c r="B2" s="90" t="s">
        <v>88</v>
      </c>
      <c r="C2" s="91" t="s">
        <v>115</v>
      </c>
      <c r="D2" s="92" t="s">
        <v>2</v>
      </c>
      <c r="E2" s="93"/>
      <c r="F2" s="94">
        <v>0</v>
      </c>
      <c r="G2" s="90">
        <v>2025</v>
      </c>
      <c r="H2" s="90">
        <v>2030</v>
      </c>
      <c r="I2" s="90">
        <v>2040</v>
      </c>
      <c r="K2" s="89">
        <v>1</v>
      </c>
    </row>
    <row r="3" spans="1:16" ht="12" customHeight="1" x14ac:dyDescent="0.2">
      <c r="B3" s="394" t="str">
        <f>[2]ProgrMesures_Budget_EN!B3</f>
        <v>Sectoral Plan Agriculture - Livestock - Forestry - Fisheries</v>
      </c>
      <c r="C3" s="395"/>
      <c r="D3" s="95"/>
      <c r="E3" s="93"/>
      <c r="F3" s="96">
        <v>0</v>
      </c>
      <c r="G3" s="97"/>
      <c r="H3" s="97"/>
      <c r="I3" s="97"/>
    </row>
    <row r="4" spans="1:16" ht="12.75" thickBot="1" x14ac:dyDescent="0.25">
      <c r="B4" s="98"/>
      <c r="C4" s="391"/>
      <c r="D4" s="100"/>
      <c r="E4" s="93"/>
      <c r="F4" s="101">
        <v>0</v>
      </c>
      <c r="G4" s="102"/>
      <c r="H4" s="103"/>
      <c r="I4" s="103"/>
    </row>
    <row r="5" spans="1:16" ht="24" customHeight="1" x14ac:dyDescent="0.2">
      <c r="B5" s="390" t="str">
        <f>[2]ProgrMesures_Budget_EN!B5</f>
        <v>Strategic axis 1</v>
      </c>
      <c r="C5" s="395" t="str">
        <f>ProgrMesures_Budget!C5</f>
        <v>Ensure food self-sufficiency through more sustainable agricultural and livestock production</v>
      </c>
      <c r="D5" s="328">
        <f>ProgrMesures_Budget!D5</f>
        <v>1055911257.5</v>
      </c>
      <c r="E5" s="213"/>
      <c r="F5" s="329">
        <v>0</v>
      </c>
      <c r="G5" s="330">
        <f>ProgrMesures_Budget!G5</f>
        <v>333794964.16666669</v>
      </c>
      <c r="H5" s="330">
        <f>ProgrMesures_Budget!H5</f>
        <v>400495293.33333331</v>
      </c>
      <c r="I5" s="331">
        <f>ProgrMesures_Budget!I5</f>
        <v>321621000</v>
      </c>
    </row>
    <row r="6" spans="1:16" ht="15" customHeight="1" thickBot="1" x14ac:dyDescent="0.25">
      <c r="B6" s="98"/>
      <c r="C6" s="396"/>
      <c r="D6" s="100"/>
      <c r="E6" s="213"/>
      <c r="F6" s="332">
        <v>0</v>
      </c>
      <c r="G6" s="333">
        <f>ProgrMesures_Budget!G6</f>
        <v>0.31612028169580025</v>
      </c>
      <c r="H6" s="333">
        <f>ProgrMesures_Budget!H6</f>
        <v>0.37928878065146804</v>
      </c>
      <c r="I6" s="333">
        <f>ProgrMesures_Budget!I6</f>
        <v>0.30459093765273165</v>
      </c>
    </row>
    <row r="7" spans="1:16" ht="24" customHeight="1" x14ac:dyDescent="0.2">
      <c r="B7" s="119" t="str">
        <f>[2]ProgrMesures_Budget_EN!B40</f>
        <v>Strategic axis 2</v>
      </c>
      <c r="C7" s="397" t="str">
        <f>ProgrMesures_Budget!C45</f>
        <v>Improving people's income and reducing poverty</v>
      </c>
      <c r="D7" s="212">
        <f>ProgrMesures_Budget!D45</f>
        <v>396207562.33333337</v>
      </c>
      <c r="E7" s="213"/>
      <c r="F7" s="214">
        <v>0</v>
      </c>
      <c r="G7" s="215">
        <f>ProgrMesures_Budget!G45</f>
        <v>165049125.66666669</v>
      </c>
      <c r="H7" s="216">
        <f>ProgrMesures_Budget!H45</f>
        <v>182450436.66666669</v>
      </c>
      <c r="I7" s="216">
        <f>ProgrMesures_Budget!I45</f>
        <v>48708000</v>
      </c>
      <c r="K7" s="85"/>
    </row>
    <row r="8" spans="1:16" ht="15" customHeight="1" thickBot="1" x14ac:dyDescent="0.25">
      <c r="B8" s="120"/>
      <c r="C8" s="398"/>
      <c r="D8" s="217"/>
      <c r="E8" s="213"/>
      <c r="F8" s="218">
        <v>0</v>
      </c>
      <c r="G8" s="219">
        <f>ProgrMesures_Budget!G46</f>
        <v>0.41657237609162345</v>
      </c>
      <c r="H8" s="219">
        <f>ProgrMesures_Budget!H46</f>
        <v>0.46049206025292699</v>
      </c>
      <c r="I8" s="219">
        <f>ProgrMesures_Budget!I46</f>
        <v>0.12293556365544955</v>
      </c>
      <c r="K8" s="85"/>
    </row>
    <row r="9" spans="1:16" s="87" customFormat="1" ht="24" customHeight="1" x14ac:dyDescent="0.2">
      <c r="A9" s="86"/>
      <c r="B9" s="131" t="str">
        <f>[2]ProgrMesures_Budget_EN!B65</f>
        <v>Strategic axis 3</v>
      </c>
      <c r="C9" s="399" t="str">
        <f>ProgrMesures_Budget!C78</f>
        <v>Protection and enhancement of the environment and contribution to climate change mitigation and adaptation</v>
      </c>
      <c r="D9" s="221">
        <f>ProgrMesures_Budget!D78</f>
        <v>21563590</v>
      </c>
      <c r="E9" s="213"/>
      <c r="F9" s="222"/>
      <c r="G9" s="200">
        <f>ProgrMesures_Budget!G78</f>
        <v>13483220</v>
      </c>
      <c r="H9" s="200">
        <f>ProgrMesures_Budget!H78</f>
        <v>6890370</v>
      </c>
      <c r="I9" s="200">
        <f>ProgrMesures_Budget!I78</f>
        <v>1190000</v>
      </c>
      <c r="K9" s="85"/>
    </row>
    <row r="10" spans="1:16" s="87" customFormat="1" ht="15" customHeight="1" thickBot="1" x14ac:dyDescent="0.25">
      <c r="A10" s="86"/>
      <c r="B10" s="132"/>
      <c r="C10" s="400"/>
      <c r="D10" s="223"/>
      <c r="E10" s="213"/>
      <c r="F10" s="224">
        <v>0</v>
      </c>
      <c r="G10" s="209">
        <f>ProgrMesures_Budget!G79</f>
        <v>0.62527714541038848</v>
      </c>
      <c r="H10" s="209">
        <f>ProgrMesures_Budget!H79</f>
        <v>0.31953723846539467</v>
      </c>
      <c r="I10" s="209">
        <f>ProgrMesures_Budget!I79</f>
        <v>5.5185616124216796E-2</v>
      </c>
      <c r="K10" s="85"/>
    </row>
    <row r="11" spans="1:16" ht="14.25" x14ac:dyDescent="0.2">
      <c r="A11" s="82"/>
      <c r="B11" s="236" t="str">
        <f>[2]ProgrMesures_Budget_EN!B77</f>
        <v>Strategic axis 4</v>
      </c>
      <c r="C11" s="401" t="str">
        <f>ProgrMesures_Budget!C90</f>
        <v>Strengthening the legal and legislative framework</v>
      </c>
      <c r="D11" s="237">
        <f>ProgrMesures_Budget!D90</f>
        <v>24390000</v>
      </c>
      <c r="E11" s="213"/>
      <c r="F11" s="238">
        <v>0</v>
      </c>
      <c r="G11" s="239">
        <f>ProgrMesures_Budget!G90</f>
        <v>10641000</v>
      </c>
      <c r="H11" s="239">
        <f>ProgrMesures_Budget!H90</f>
        <v>13613000</v>
      </c>
      <c r="I11" s="327">
        <f>ProgrMesures_Budget!I90</f>
        <v>136000</v>
      </c>
      <c r="K11" s="85"/>
      <c r="M11"/>
    </row>
    <row r="12" spans="1:16" ht="15" thickBot="1" x14ac:dyDescent="0.25">
      <c r="A12" s="82"/>
      <c r="B12" s="240"/>
      <c r="C12" s="402"/>
      <c r="D12" s="241"/>
      <c r="E12" s="213"/>
      <c r="F12" s="242">
        <v>0</v>
      </c>
      <c r="G12" s="243">
        <f>ProgrMesures_Budget!G91</f>
        <v>0.43628536285362851</v>
      </c>
      <c r="H12" s="243">
        <f>ProgrMesures_Budget!H91</f>
        <v>0.55813858138581385</v>
      </c>
      <c r="I12" s="243">
        <f>ProgrMesures_Budget!I91</f>
        <v>5.5760557605576055E-3</v>
      </c>
      <c r="K12" s="85"/>
      <c r="M12"/>
    </row>
    <row r="13" spans="1:16" s="87" customFormat="1" ht="14.25" customHeight="1" x14ac:dyDescent="0.2">
      <c r="B13" s="256" t="str">
        <f>[2]ProgrMesures_Budget_EN!B92</f>
        <v>Strategic axis 5</v>
      </c>
      <c r="C13" s="392" t="str">
        <f>ProgrMesures_Budget!C105</f>
        <v>Research, acquisition, collection and processing of data and dissemination of knowledge</v>
      </c>
      <c r="D13" s="257">
        <f>ProgrMesures_Budget!D105</f>
        <v>40500000</v>
      </c>
      <c r="E13" s="227"/>
      <c r="F13" s="222"/>
      <c r="G13" s="260">
        <f>ProgrMesures_Budget!G105</f>
        <v>11477000</v>
      </c>
      <c r="H13" s="260">
        <f>ProgrMesures_Budget!H105</f>
        <v>17693000</v>
      </c>
      <c r="I13" s="260">
        <f>ProgrMesures_Budget!I105</f>
        <v>11330000</v>
      </c>
      <c r="K13" s="85"/>
      <c r="L13"/>
      <c r="M13"/>
      <c r="N13"/>
      <c r="O13"/>
      <c r="P13"/>
    </row>
    <row r="14" spans="1:16" s="87" customFormat="1" ht="15" thickBot="1" x14ac:dyDescent="0.25">
      <c r="B14" s="258"/>
      <c r="C14" s="393"/>
      <c r="D14" s="259"/>
      <c r="E14" s="227"/>
      <c r="F14" s="224">
        <v>0</v>
      </c>
      <c r="G14" s="261">
        <f>ProgrMesures_Budget!G106</f>
        <v>0.2833827160493827</v>
      </c>
      <c r="H14" s="261">
        <f>ProgrMesures_Budget!H106</f>
        <v>0.4368641975308642</v>
      </c>
      <c r="I14" s="308">
        <f>ProgrMesures_Budget!I106</f>
        <v>0.27975308641975311</v>
      </c>
      <c r="K14" s="85"/>
      <c r="L14"/>
      <c r="M14"/>
      <c r="N14"/>
      <c r="O14"/>
      <c r="P14"/>
    </row>
    <row r="15" spans="1:16" ht="23.85" customHeight="1" thickBot="1" x14ac:dyDescent="0.25">
      <c r="B15" s="139" t="s">
        <v>119</v>
      </c>
      <c r="C15" s="140"/>
      <c r="D15" s="334">
        <f>ProgrMesures_Budget!D117</f>
        <v>1538572409.8333335</v>
      </c>
      <c r="E15" s="168"/>
      <c r="F15" s="169"/>
      <c r="G15" s="335">
        <f>ProgrMesures_Budget!G117</f>
        <v>534445309.83333337</v>
      </c>
      <c r="H15" s="336">
        <f>ProgrMesures_Budget!H117</f>
        <v>621142100</v>
      </c>
      <c r="I15" s="337">
        <f>ProgrMesures_Budget!I117</f>
        <v>382985000</v>
      </c>
      <c r="K15" s="85"/>
    </row>
    <row r="19" spans="4:4" x14ac:dyDescent="0.2">
      <c r="D19" s="349">
        <f>D9+D11+D13</f>
        <v>86453590</v>
      </c>
    </row>
    <row r="20" spans="4:4" x14ac:dyDescent="0.2">
      <c r="D20" s="350">
        <f>D19/D15</f>
        <v>5.6190784032949817E-2</v>
      </c>
    </row>
  </sheetData>
  <mergeCells count="6">
    <mergeCell ref="C13:C14"/>
    <mergeCell ref="B3:C3"/>
    <mergeCell ref="C5:C6"/>
    <mergeCell ref="C7:C8"/>
    <mergeCell ref="C9:C10"/>
    <mergeCell ref="C11:C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X100"/>
  <sheetViews>
    <sheetView showGridLines="0" zoomScale="89" zoomScaleNormal="89" workbookViewId="0">
      <pane xSplit="22" ySplit="5" topLeftCell="W6" activePane="bottomRight" state="frozen"/>
      <selection pane="topRight" activeCell="W1" sqref="W1"/>
      <selection pane="bottomLeft" activeCell="A6" sqref="A6"/>
      <selection pane="bottomRight" activeCell="B3" sqref="B3:W99"/>
    </sheetView>
  </sheetViews>
  <sheetFormatPr baseColWidth="10" defaultColWidth="12.5" defaultRowHeight="12.75" x14ac:dyDescent="0.2"/>
  <cols>
    <col min="1" max="1" width="3.625" style="6" customWidth="1"/>
    <col min="2" max="2" width="2.75" style="80" customWidth="1"/>
    <col min="3" max="3" width="13.125" style="80" customWidth="1"/>
    <col min="4" max="4" width="83" style="80" customWidth="1"/>
    <col min="5" max="23" width="4.25" style="6" customWidth="1"/>
    <col min="24" max="115" width="9" style="6" customWidth="1"/>
    <col min="116" max="222" width="12.5" style="6"/>
    <col min="223" max="223" width="0.25" style="6" customWidth="1"/>
    <col min="224" max="224" width="12.5" style="6"/>
    <col min="225" max="225" width="7.875" style="6" customWidth="1"/>
    <col min="226" max="226" width="81" style="6" customWidth="1"/>
    <col min="227" max="270" width="4" style="6" customWidth="1"/>
    <col min="271" max="271" width="17.375" style="6" customWidth="1"/>
    <col min="272" max="272" width="1.625" style="6" customWidth="1"/>
    <col min="273" max="273" width="9" style="6" customWidth="1"/>
    <col min="274" max="274" width="1.125" style="6" customWidth="1"/>
    <col min="275" max="371" width="9" style="6" customWidth="1"/>
    <col min="372" max="478" width="12.5" style="6"/>
    <col min="479" max="479" width="0.25" style="6" customWidth="1"/>
    <col min="480" max="480" width="12.5" style="6"/>
    <col min="481" max="481" width="7.875" style="6" customWidth="1"/>
    <col min="482" max="482" width="81" style="6" customWidth="1"/>
    <col min="483" max="526" width="4" style="6" customWidth="1"/>
    <col min="527" max="527" width="17.375" style="6" customWidth="1"/>
    <col min="528" max="528" width="1.625" style="6" customWidth="1"/>
    <col min="529" max="529" width="9" style="6" customWidth="1"/>
    <col min="530" max="530" width="1.125" style="6" customWidth="1"/>
    <col min="531" max="627" width="9" style="6" customWidth="1"/>
    <col min="628" max="734" width="12.5" style="6"/>
    <col min="735" max="735" width="0.25" style="6" customWidth="1"/>
    <col min="736" max="736" width="12.5" style="6"/>
    <col min="737" max="737" width="7.875" style="6" customWidth="1"/>
    <col min="738" max="738" width="81" style="6" customWidth="1"/>
    <col min="739" max="782" width="4" style="6" customWidth="1"/>
    <col min="783" max="783" width="17.375" style="6" customWidth="1"/>
    <col min="784" max="784" width="1.625" style="6" customWidth="1"/>
    <col min="785" max="785" width="9" style="6" customWidth="1"/>
    <col min="786" max="786" width="1.125" style="6" customWidth="1"/>
    <col min="787" max="883" width="9" style="6" customWidth="1"/>
    <col min="884" max="990" width="12.5" style="6"/>
    <col min="991" max="991" width="0.25" style="6" customWidth="1"/>
    <col min="992" max="992" width="12.5" style="6"/>
    <col min="993" max="993" width="7.875" style="6" customWidth="1"/>
    <col min="994" max="994" width="81" style="6" customWidth="1"/>
    <col min="995" max="1038" width="4" style="6" customWidth="1"/>
    <col min="1039" max="1039" width="17.375" style="6" customWidth="1"/>
    <col min="1040" max="1040" width="1.625" style="6" customWidth="1"/>
    <col min="1041" max="1041" width="9" style="6" customWidth="1"/>
    <col min="1042" max="1042" width="1.125" style="6" customWidth="1"/>
    <col min="1043" max="1139" width="9" style="6" customWidth="1"/>
    <col min="1140" max="1246" width="12.5" style="6"/>
    <col min="1247" max="1247" width="0.25" style="6" customWidth="1"/>
    <col min="1248" max="1248" width="12.5" style="6"/>
    <col min="1249" max="1249" width="7.875" style="6" customWidth="1"/>
    <col min="1250" max="1250" width="81" style="6" customWidth="1"/>
    <col min="1251" max="1294" width="4" style="6" customWidth="1"/>
    <col min="1295" max="1295" width="17.375" style="6" customWidth="1"/>
    <col min="1296" max="1296" width="1.625" style="6" customWidth="1"/>
    <col min="1297" max="1297" width="9" style="6" customWidth="1"/>
    <col min="1298" max="1298" width="1.125" style="6" customWidth="1"/>
    <col min="1299" max="1395" width="9" style="6" customWidth="1"/>
    <col min="1396" max="1502" width="12.5" style="6"/>
    <col min="1503" max="1503" width="0.25" style="6" customWidth="1"/>
    <col min="1504" max="1504" width="12.5" style="6"/>
    <col min="1505" max="1505" width="7.875" style="6" customWidth="1"/>
    <col min="1506" max="1506" width="81" style="6" customWidth="1"/>
    <col min="1507" max="1550" width="4" style="6" customWidth="1"/>
    <col min="1551" max="1551" width="17.375" style="6" customWidth="1"/>
    <col min="1552" max="1552" width="1.625" style="6" customWidth="1"/>
    <col min="1553" max="1553" width="9" style="6" customWidth="1"/>
    <col min="1554" max="1554" width="1.125" style="6" customWidth="1"/>
    <col min="1555" max="1651" width="9" style="6" customWidth="1"/>
    <col min="1652" max="1758" width="12.5" style="6"/>
    <col min="1759" max="1759" width="0.25" style="6" customWidth="1"/>
    <col min="1760" max="1760" width="12.5" style="6"/>
    <col min="1761" max="1761" width="7.875" style="6" customWidth="1"/>
    <col min="1762" max="1762" width="81" style="6" customWidth="1"/>
    <col min="1763" max="1806" width="4" style="6" customWidth="1"/>
    <col min="1807" max="1807" width="17.375" style="6" customWidth="1"/>
    <col min="1808" max="1808" width="1.625" style="6" customWidth="1"/>
    <col min="1809" max="1809" width="9" style="6" customWidth="1"/>
    <col min="1810" max="1810" width="1.125" style="6" customWidth="1"/>
    <col min="1811" max="1907" width="9" style="6" customWidth="1"/>
    <col min="1908" max="2014" width="12.5" style="6"/>
    <col min="2015" max="2015" width="0.25" style="6" customWidth="1"/>
    <col min="2016" max="2016" width="12.5" style="6"/>
    <col min="2017" max="2017" width="7.875" style="6" customWidth="1"/>
    <col min="2018" max="2018" width="81" style="6" customWidth="1"/>
    <col min="2019" max="2062" width="4" style="6" customWidth="1"/>
    <col min="2063" max="2063" width="17.375" style="6" customWidth="1"/>
    <col min="2064" max="2064" width="1.625" style="6" customWidth="1"/>
    <col min="2065" max="2065" width="9" style="6" customWidth="1"/>
    <col min="2066" max="2066" width="1.125" style="6" customWidth="1"/>
    <col min="2067" max="2163" width="9" style="6" customWidth="1"/>
    <col min="2164" max="2270" width="12.5" style="6"/>
    <col min="2271" max="2271" width="0.25" style="6" customWidth="1"/>
    <col min="2272" max="2272" width="12.5" style="6"/>
    <col min="2273" max="2273" width="7.875" style="6" customWidth="1"/>
    <col min="2274" max="2274" width="81" style="6" customWidth="1"/>
    <col min="2275" max="2318" width="4" style="6" customWidth="1"/>
    <col min="2319" max="2319" width="17.375" style="6" customWidth="1"/>
    <col min="2320" max="2320" width="1.625" style="6" customWidth="1"/>
    <col min="2321" max="2321" width="9" style="6" customWidth="1"/>
    <col min="2322" max="2322" width="1.125" style="6" customWidth="1"/>
    <col min="2323" max="2419" width="9" style="6" customWidth="1"/>
    <col min="2420" max="2526" width="12.5" style="6"/>
    <col min="2527" max="2527" width="0.25" style="6" customWidth="1"/>
    <col min="2528" max="2528" width="12.5" style="6"/>
    <col min="2529" max="2529" width="7.875" style="6" customWidth="1"/>
    <col min="2530" max="2530" width="81" style="6" customWidth="1"/>
    <col min="2531" max="2574" width="4" style="6" customWidth="1"/>
    <col min="2575" max="2575" width="17.375" style="6" customWidth="1"/>
    <col min="2576" max="2576" width="1.625" style="6" customWidth="1"/>
    <col min="2577" max="2577" width="9" style="6" customWidth="1"/>
    <col min="2578" max="2578" width="1.125" style="6" customWidth="1"/>
    <col min="2579" max="2675" width="9" style="6" customWidth="1"/>
    <col min="2676" max="2782" width="12.5" style="6"/>
    <col min="2783" max="2783" width="0.25" style="6" customWidth="1"/>
    <col min="2784" max="2784" width="12.5" style="6"/>
    <col min="2785" max="2785" width="7.875" style="6" customWidth="1"/>
    <col min="2786" max="2786" width="81" style="6" customWidth="1"/>
    <col min="2787" max="2830" width="4" style="6" customWidth="1"/>
    <col min="2831" max="2831" width="17.375" style="6" customWidth="1"/>
    <col min="2832" max="2832" width="1.625" style="6" customWidth="1"/>
    <col min="2833" max="2833" width="9" style="6" customWidth="1"/>
    <col min="2834" max="2834" width="1.125" style="6" customWidth="1"/>
    <col min="2835" max="2931" width="9" style="6" customWidth="1"/>
    <col min="2932" max="3038" width="12.5" style="6"/>
    <col min="3039" max="3039" width="0.25" style="6" customWidth="1"/>
    <col min="3040" max="3040" width="12.5" style="6"/>
    <col min="3041" max="3041" width="7.875" style="6" customWidth="1"/>
    <col min="3042" max="3042" width="81" style="6" customWidth="1"/>
    <col min="3043" max="3086" width="4" style="6" customWidth="1"/>
    <col min="3087" max="3087" width="17.375" style="6" customWidth="1"/>
    <col min="3088" max="3088" width="1.625" style="6" customWidth="1"/>
    <col min="3089" max="3089" width="9" style="6" customWidth="1"/>
    <col min="3090" max="3090" width="1.125" style="6" customWidth="1"/>
    <col min="3091" max="3187" width="9" style="6" customWidth="1"/>
    <col min="3188" max="3294" width="12.5" style="6"/>
    <col min="3295" max="3295" width="0.25" style="6" customWidth="1"/>
    <col min="3296" max="3296" width="12.5" style="6"/>
    <col min="3297" max="3297" width="7.875" style="6" customWidth="1"/>
    <col min="3298" max="3298" width="81" style="6" customWidth="1"/>
    <col min="3299" max="3342" width="4" style="6" customWidth="1"/>
    <col min="3343" max="3343" width="17.375" style="6" customWidth="1"/>
    <col min="3344" max="3344" width="1.625" style="6" customWidth="1"/>
    <col min="3345" max="3345" width="9" style="6" customWidth="1"/>
    <col min="3346" max="3346" width="1.125" style="6" customWidth="1"/>
    <col min="3347" max="3443" width="9" style="6" customWidth="1"/>
    <col min="3444" max="3550" width="12.5" style="6"/>
    <col min="3551" max="3551" width="0.25" style="6" customWidth="1"/>
    <col min="3552" max="3552" width="12.5" style="6"/>
    <col min="3553" max="3553" width="7.875" style="6" customWidth="1"/>
    <col min="3554" max="3554" width="81" style="6" customWidth="1"/>
    <col min="3555" max="3598" width="4" style="6" customWidth="1"/>
    <col min="3599" max="3599" width="17.375" style="6" customWidth="1"/>
    <col min="3600" max="3600" width="1.625" style="6" customWidth="1"/>
    <col min="3601" max="3601" width="9" style="6" customWidth="1"/>
    <col min="3602" max="3602" width="1.125" style="6" customWidth="1"/>
    <col min="3603" max="3699" width="9" style="6" customWidth="1"/>
    <col min="3700" max="3806" width="12.5" style="6"/>
    <col min="3807" max="3807" width="0.25" style="6" customWidth="1"/>
    <col min="3808" max="3808" width="12.5" style="6"/>
    <col min="3809" max="3809" width="7.875" style="6" customWidth="1"/>
    <col min="3810" max="3810" width="81" style="6" customWidth="1"/>
    <col min="3811" max="3854" width="4" style="6" customWidth="1"/>
    <col min="3855" max="3855" width="17.375" style="6" customWidth="1"/>
    <col min="3856" max="3856" width="1.625" style="6" customWidth="1"/>
    <col min="3857" max="3857" width="9" style="6" customWidth="1"/>
    <col min="3858" max="3858" width="1.125" style="6" customWidth="1"/>
    <col min="3859" max="3955" width="9" style="6" customWidth="1"/>
    <col min="3956" max="4062" width="12.5" style="6"/>
    <col min="4063" max="4063" width="0.25" style="6" customWidth="1"/>
    <col min="4064" max="4064" width="12.5" style="6"/>
    <col min="4065" max="4065" width="7.875" style="6" customWidth="1"/>
    <col min="4066" max="4066" width="81" style="6" customWidth="1"/>
    <col min="4067" max="4110" width="4" style="6" customWidth="1"/>
    <col min="4111" max="4111" width="17.375" style="6" customWidth="1"/>
    <col min="4112" max="4112" width="1.625" style="6" customWidth="1"/>
    <col min="4113" max="4113" width="9" style="6" customWidth="1"/>
    <col min="4114" max="4114" width="1.125" style="6" customWidth="1"/>
    <col min="4115" max="4211" width="9" style="6" customWidth="1"/>
    <col min="4212" max="4318" width="12.5" style="6"/>
    <col min="4319" max="4319" width="0.25" style="6" customWidth="1"/>
    <col min="4320" max="4320" width="12.5" style="6"/>
    <col min="4321" max="4321" width="7.875" style="6" customWidth="1"/>
    <col min="4322" max="4322" width="81" style="6" customWidth="1"/>
    <col min="4323" max="4366" width="4" style="6" customWidth="1"/>
    <col min="4367" max="4367" width="17.375" style="6" customWidth="1"/>
    <col min="4368" max="4368" width="1.625" style="6" customWidth="1"/>
    <col min="4369" max="4369" width="9" style="6" customWidth="1"/>
    <col min="4370" max="4370" width="1.125" style="6" customWidth="1"/>
    <col min="4371" max="4467" width="9" style="6" customWidth="1"/>
    <col min="4468" max="4574" width="12.5" style="6"/>
    <col min="4575" max="4575" width="0.25" style="6" customWidth="1"/>
    <col min="4576" max="4576" width="12.5" style="6"/>
    <col min="4577" max="4577" width="7.875" style="6" customWidth="1"/>
    <col min="4578" max="4578" width="81" style="6" customWidth="1"/>
    <col min="4579" max="4622" width="4" style="6" customWidth="1"/>
    <col min="4623" max="4623" width="17.375" style="6" customWidth="1"/>
    <col min="4624" max="4624" width="1.625" style="6" customWidth="1"/>
    <col min="4625" max="4625" width="9" style="6" customWidth="1"/>
    <col min="4626" max="4626" width="1.125" style="6" customWidth="1"/>
    <col min="4627" max="4723" width="9" style="6" customWidth="1"/>
    <col min="4724" max="4830" width="12.5" style="6"/>
    <col min="4831" max="4831" width="0.25" style="6" customWidth="1"/>
    <col min="4832" max="4832" width="12.5" style="6"/>
    <col min="4833" max="4833" width="7.875" style="6" customWidth="1"/>
    <col min="4834" max="4834" width="81" style="6" customWidth="1"/>
    <col min="4835" max="4878" width="4" style="6" customWidth="1"/>
    <col min="4879" max="4879" width="17.375" style="6" customWidth="1"/>
    <col min="4880" max="4880" width="1.625" style="6" customWidth="1"/>
    <col min="4881" max="4881" width="9" style="6" customWidth="1"/>
    <col min="4882" max="4882" width="1.125" style="6" customWidth="1"/>
    <col min="4883" max="4979" width="9" style="6" customWidth="1"/>
    <col min="4980" max="5086" width="12.5" style="6"/>
    <col min="5087" max="5087" width="0.25" style="6" customWidth="1"/>
    <col min="5088" max="5088" width="12.5" style="6"/>
    <col min="5089" max="5089" width="7.875" style="6" customWidth="1"/>
    <col min="5090" max="5090" width="81" style="6" customWidth="1"/>
    <col min="5091" max="5134" width="4" style="6" customWidth="1"/>
    <col min="5135" max="5135" width="17.375" style="6" customWidth="1"/>
    <col min="5136" max="5136" width="1.625" style="6" customWidth="1"/>
    <col min="5137" max="5137" width="9" style="6" customWidth="1"/>
    <col min="5138" max="5138" width="1.125" style="6" customWidth="1"/>
    <col min="5139" max="5235" width="9" style="6" customWidth="1"/>
    <col min="5236" max="5342" width="12.5" style="6"/>
    <col min="5343" max="5343" width="0.25" style="6" customWidth="1"/>
    <col min="5344" max="5344" width="12.5" style="6"/>
    <col min="5345" max="5345" width="7.875" style="6" customWidth="1"/>
    <col min="5346" max="5346" width="81" style="6" customWidth="1"/>
    <col min="5347" max="5390" width="4" style="6" customWidth="1"/>
    <col min="5391" max="5391" width="17.375" style="6" customWidth="1"/>
    <col min="5392" max="5392" width="1.625" style="6" customWidth="1"/>
    <col min="5393" max="5393" width="9" style="6" customWidth="1"/>
    <col min="5394" max="5394" width="1.125" style="6" customWidth="1"/>
    <col min="5395" max="5491" width="9" style="6" customWidth="1"/>
    <col min="5492" max="5598" width="12.5" style="6"/>
    <col min="5599" max="5599" width="0.25" style="6" customWidth="1"/>
    <col min="5600" max="5600" width="12.5" style="6"/>
    <col min="5601" max="5601" width="7.875" style="6" customWidth="1"/>
    <col min="5602" max="5602" width="81" style="6" customWidth="1"/>
    <col min="5603" max="5646" width="4" style="6" customWidth="1"/>
    <col min="5647" max="5647" width="17.375" style="6" customWidth="1"/>
    <col min="5648" max="5648" width="1.625" style="6" customWidth="1"/>
    <col min="5649" max="5649" width="9" style="6" customWidth="1"/>
    <col min="5650" max="5650" width="1.125" style="6" customWidth="1"/>
    <col min="5651" max="5747" width="9" style="6" customWidth="1"/>
    <col min="5748" max="5854" width="12.5" style="6"/>
    <col min="5855" max="5855" width="0.25" style="6" customWidth="1"/>
    <col min="5856" max="5856" width="12.5" style="6"/>
    <col min="5857" max="5857" width="7.875" style="6" customWidth="1"/>
    <col min="5858" max="5858" width="81" style="6" customWidth="1"/>
    <col min="5859" max="5902" width="4" style="6" customWidth="1"/>
    <col min="5903" max="5903" width="17.375" style="6" customWidth="1"/>
    <col min="5904" max="5904" width="1.625" style="6" customWidth="1"/>
    <col min="5905" max="5905" width="9" style="6" customWidth="1"/>
    <col min="5906" max="5906" width="1.125" style="6" customWidth="1"/>
    <col min="5907" max="6003" width="9" style="6" customWidth="1"/>
    <col min="6004" max="6110" width="12.5" style="6"/>
    <col min="6111" max="6111" width="0.25" style="6" customWidth="1"/>
    <col min="6112" max="6112" width="12.5" style="6"/>
    <col min="6113" max="6113" width="7.875" style="6" customWidth="1"/>
    <col min="6114" max="6114" width="81" style="6" customWidth="1"/>
    <col min="6115" max="6158" width="4" style="6" customWidth="1"/>
    <col min="6159" max="6159" width="17.375" style="6" customWidth="1"/>
    <col min="6160" max="6160" width="1.625" style="6" customWidth="1"/>
    <col min="6161" max="6161" width="9" style="6" customWidth="1"/>
    <col min="6162" max="6162" width="1.125" style="6" customWidth="1"/>
    <col min="6163" max="6259" width="9" style="6" customWidth="1"/>
    <col min="6260" max="6366" width="12.5" style="6"/>
    <col min="6367" max="6367" width="0.25" style="6" customWidth="1"/>
    <col min="6368" max="6368" width="12.5" style="6"/>
    <col min="6369" max="6369" width="7.875" style="6" customWidth="1"/>
    <col min="6370" max="6370" width="81" style="6" customWidth="1"/>
    <col min="6371" max="6414" width="4" style="6" customWidth="1"/>
    <col min="6415" max="6415" width="17.375" style="6" customWidth="1"/>
    <col min="6416" max="6416" width="1.625" style="6" customWidth="1"/>
    <col min="6417" max="6417" width="9" style="6" customWidth="1"/>
    <col min="6418" max="6418" width="1.125" style="6" customWidth="1"/>
    <col min="6419" max="6515" width="9" style="6" customWidth="1"/>
    <col min="6516" max="6622" width="12.5" style="6"/>
    <col min="6623" max="6623" width="0.25" style="6" customWidth="1"/>
    <col min="6624" max="6624" width="12.5" style="6"/>
    <col min="6625" max="6625" width="7.875" style="6" customWidth="1"/>
    <col min="6626" max="6626" width="81" style="6" customWidth="1"/>
    <col min="6627" max="6670" width="4" style="6" customWidth="1"/>
    <col min="6671" max="6671" width="17.375" style="6" customWidth="1"/>
    <col min="6672" max="6672" width="1.625" style="6" customWidth="1"/>
    <col min="6673" max="6673" width="9" style="6" customWidth="1"/>
    <col min="6674" max="6674" width="1.125" style="6" customWidth="1"/>
    <col min="6675" max="6771" width="9" style="6" customWidth="1"/>
    <col min="6772" max="6878" width="12.5" style="6"/>
    <col min="6879" max="6879" width="0.25" style="6" customWidth="1"/>
    <col min="6880" max="6880" width="12.5" style="6"/>
    <col min="6881" max="6881" width="7.875" style="6" customWidth="1"/>
    <col min="6882" max="6882" width="81" style="6" customWidth="1"/>
    <col min="6883" max="6926" width="4" style="6" customWidth="1"/>
    <col min="6927" max="6927" width="17.375" style="6" customWidth="1"/>
    <col min="6928" max="6928" width="1.625" style="6" customWidth="1"/>
    <col min="6929" max="6929" width="9" style="6" customWidth="1"/>
    <col min="6930" max="6930" width="1.125" style="6" customWidth="1"/>
    <col min="6931" max="7027" width="9" style="6" customWidth="1"/>
    <col min="7028" max="7134" width="12.5" style="6"/>
    <col min="7135" max="7135" width="0.25" style="6" customWidth="1"/>
    <col min="7136" max="7136" width="12.5" style="6"/>
    <col min="7137" max="7137" width="7.875" style="6" customWidth="1"/>
    <col min="7138" max="7138" width="81" style="6" customWidth="1"/>
    <col min="7139" max="7182" width="4" style="6" customWidth="1"/>
    <col min="7183" max="7183" width="17.375" style="6" customWidth="1"/>
    <col min="7184" max="7184" width="1.625" style="6" customWidth="1"/>
    <col min="7185" max="7185" width="9" style="6" customWidth="1"/>
    <col min="7186" max="7186" width="1.125" style="6" customWidth="1"/>
    <col min="7187" max="7283" width="9" style="6" customWidth="1"/>
    <col min="7284" max="7390" width="12.5" style="6"/>
    <col min="7391" max="7391" width="0.25" style="6" customWidth="1"/>
    <col min="7392" max="7392" width="12.5" style="6"/>
    <col min="7393" max="7393" width="7.875" style="6" customWidth="1"/>
    <col min="7394" max="7394" width="81" style="6" customWidth="1"/>
    <col min="7395" max="7438" width="4" style="6" customWidth="1"/>
    <col min="7439" max="7439" width="17.375" style="6" customWidth="1"/>
    <col min="7440" max="7440" width="1.625" style="6" customWidth="1"/>
    <col min="7441" max="7441" width="9" style="6" customWidth="1"/>
    <col min="7442" max="7442" width="1.125" style="6" customWidth="1"/>
    <col min="7443" max="7539" width="9" style="6" customWidth="1"/>
    <col min="7540" max="7646" width="12.5" style="6"/>
    <col min="7647" max="7647" width="0.25" style="6" customWidth="1"/>
    <col min="7648" max="7648" width="12.5" style="6"/>
    <col min="7649" max="7649" width="7.875" style="6" customWidth="1"/>
    <col min="7650" max="7650" width="81" style="6" customWidth="1"/>
    <col min="7651" max="7694" width="4" style="6" customWidth="1"/>
    <col min="7695" max="7695" width="17.375" style="6" customWidth="1"/>
    <col min="7696" max="7696" width="1.625" style="6" customWidth="1"/>
    <col min="7697" max="7697" width="9" style="6" customWidth="1"/>
    <col min="7698" max="7698" width="1.125" style="6" customWidth="1"/>
    <col min="7699" max="7795" width="9" style="6" customWidth="1"/>
    <col min="7796" max="7902" width="12.5" style="6"/>
    <col min="7903" max="7903" width="0.25" style="6" customWidth="1"/>
    <col min="7904" max="7904" width="12.5" style="6"/>
    <col min="7905" max="7905" width="7.875" style="6" customWidth="1"/>
    <col min="7906" max="7906" width="81" style="6" customWidth="1"/>
    <col min="7907" max="7950" width="4" style="6" customWidth="1"/>
    <col min="7951" max="7951" width="17.375" style="6" customWidth="1"/>
    <col min="7952" max="7952" width="1.625" style="6" customWidth="1"/>
    <col min="7953" max="7953" width="9" style="6" customWidth="1"/>
    <col min="7954" max="7954" width="1.125" style="6" customWidth="1"/>
    <col min="7955" max="8051" width="9" style="6" customWidth="1"/>
    <col min="8052" max="8158" width="12.5" style="6"/>
    <col min="8159" max="8159" width="0.25" style="6" customWidth="1"/>
    <col min="8160" max="8160" width="12.5" style="6"/>
    <col min="8161" max="8161" width="7.875" style="6" customWidth="1"/>
    <col min="8162" max="8162" width="81" style="6" customWidth="1"/>
    <col min="8163" max="8206" width="4" style="6" customWidth="1"/>
    <col min="8207" max="8207" width="17.375" style="6" customWidth="1"/>
    <col min="8208" max="8208" width="1.625" style="6" customWidth="1"/>
    <col min="8209" max="8209" width="9" style="6" customWidth="1"/>
    <col min="8210" max="8210" width="1.125" style="6" customWidth="1"/>
    <col min="8211" max="8307" width="9" style="6" customWidth="1"/>
    <col min="8308" max="8414" width="12.5" style="6"/>
    <col min="8415" max="8415" width="0.25" style="6" customWidth="1"/>
    <col min="8416" max="8416" width="12.5" style="6"/>
    <col min="8417" max="8417" width="7.875" style="6" customWidth="1"/>
    <col min="8418" max="8418" width="81" style="6" customWidth="1"/>
    <col min="8419" max="8462" width="4" style="6" customWidth="1"/>
    <col min="8463" max="8463" width="17.375" style="6" customWidth="1"/>
    <col min="8464" max="8464" width="1.625" style="6" customWidth="1"/>
    <col min="8465" max="8465" width="9" style="6" customWidth="1"/>
    <col min="8466" max="8466" width="1.125" style="6" customWidth="1"/>
    <col min="8467" max="8563" width="9" style="6" customWidth="1"/>
    <col min="8564" max="8670" width="12.5" style="6"/>
    <col min="8671" max="8671" width="0.25" style="6" customWidth="1"/>
    <col min="8672" max="8672" width="12.5" style="6"/>
    <col min="8673" max="8673" width="7.875" style="6" customWidth="1"/>
    <col min="8674" max="8674" width="81" style="6" customWidth="1"/>
    <col min="8675" max="8718" width="4" style="6" customWidth="1"/>
    <col min="8719" max="8719" width="17.375" style="6" customWidth="1"/>
    <col min="8720" max="8720" width="1.625" style="6" customWidth="1"/>
    <col min="8721" max="8721" width="9" style="6" customWidth="1"/>
    <col min="8722" max="8722" width="1.125" style="6" customWidth="1"/>
    <col min="8723" max="8819" width="9" style="6" customWidth="1"/>
    <col min="8820" max="8926" width="12.5" style="6"/>
    <col min="8927" max="8927" width="0.25" style="6" customWidth="1"/>
    <col min="8928" max="8928" width="12.5" style="6"/>
    <col min="8929" max="8929" width="7.875" style="6" customWidth="1"/>
    <col min="8930" max="8930" width="81" style="6" customWidth="1"/>
    <col min="8931" max="8974" width="4" style="6" customWidth="1"/>
    <col min="8975" max="8975" width="17.375" style="6" customWidth="1"/>
    <col min="8976" max="8976" width="1.625" style="6" customWidth="1"/>
    <col min="8977" max="8977" width="9" style="6" customWidth="1"/>
    <col min="8978" max="8978" width="1.125" style="6" customWidth="1"/>
    <col min="8979" max="9075" width="9" style="6" customWidth="1"/>
    <col min="9076" max="9182" width="12.5" style="6"/>
    <col min="9183" max="9183" width="0.25" style="6" customWidth="1"/>
    <col min="9184" max="9184" width="12.5" style="6"/>
    <col min="9185" max="9185" width="7.875" style="6" customWidth="1"/>
    <col min="9186" max="9186" width="81" style="6" customWidth="1"/>
    <col min="9187" max="9230" width="4" style="6" customWidth="1"/>
    <col min="9231" max="9231" width="17.375" style="6" customWidth="1"/>
    <col min="9232" max="9232" width="1.625" style="6" customWidth="1"/>
    <col min="9233" max="9233" width="9" style="6" customWidth="1"/>
    <col min="9234" max="9234" width="1.125" style="6" customWidth="1"/>
    <col min="9235" max="9331" width="9" style="6" customWidth="1"/>
    <col min="9332" max="9438" width="12.5" style="6"/>
    <col min="9439" max="9439" width="0.25" style="6" customWidth="1"/>
    <col min="9440" max="9440" width="12.5" style="6"/>
    <col min="9441" max="9441" width="7.875" style="6" customWidth="1"/>
    <col min="9442" max="9442" width="81" style="6" customWidth="1"/>
    <col min="9443" max="9486" width="4" style="6" customWidth="1"/>
    <col min="9487" max="9487" width="17.375" style="6" customWidth="1"/>
    <col min="9488" max="9488" width="1.625" style="6" customWidth="1"/>
    <col min="9489" max="9489" width="9" style="6" customWidth="1"/>
    <col min="9490" max="9490" width="1.125" style="6" customWidth="1"/>
    <col min="9491" max="9587" width="9" style="6" customWidth="1"/>
    <col min="9588" max="9694" width="12.5" style="6"/>
    <col min="9695" max="9695" width="0.25" style="6" customWidth="1"/>
    <col min="9696" max="9696" width="12.5" style="6"/>
    <col min="9697" max="9697" width="7.875" style="6" customWidth="1"/>
    <col min="9698" max="9698" width="81" style="6" customWidth="1"/>
    <col min="9699" max="9742" width="4" style="6" customWidth="1"/>
    <col min="9743" max="9743" width="17.375" style="6" customWidth="1"/>
    <col min="9744" max="9744" width="1.625" style="6" customWidth="1"/>
    <col min="9745" max="9745" width="9" style="6" customWidth="1"/>
    <col min="9746" max="9746" width="1.125" style="6" customWidth="1"/>
    <col min="9747" max="9843" width="9" style="6" customWidth="1"/>
    <col min="9844" max="9950" width="12.5" style="6"/>
    <col min="9951" max="9951" width="0.25" style="6" customWidth="1"/>
    <col min="9952" max="9952" width="12.5" style="6"/>
    <col min="9953" max="9953" width="7.875" style="6" customWidth="1"/>
    <col min="9954" max="9954" width="81" style="6" customWidth="1"/>
    <col min="9955" max="9998" width="4" style="6" customWidth="1"/>
    <col min="9999" max="9999" width="17.375" style="6" customWidth="1"/>
    <col min="10000" max="10000" width="1.625" style="6" customWidth="1"/>
    <col min="10001" max="10001" width="9" style="6" customWidth="1"/>
    <col min="10002" max="10002" width="1.125" style="6" customWidth="1"/>
    <col min="10003" max="10099" width="9" style="6" customWidth="1"/>
    <col min="10100" max="10206" width="12.5" style="6"/>
    <col min="10207" max="10207" width="0.25" style="6" customWidth="1"/>
    <col min="10208" max="10208" width="12.5" style="6"/>
    <col min="10209" max="10209" width="7.875" style="6" customWidth="1"/>
    <col min="10210" max="10210" width="81" style="6" customWidth="1"/>
    <col min="10211" max="10254" width="4" style="6" customWidth="1"/>
    <col min="10255" max="10255" width="17.375" style="6" customWidth="1"/>
    <col min="10256" max="10256" width="1.625" style="6" customWidth="1"/>
    <col min="10257" max="10257" width="9" style="6" customWidth="1"/>
    <col min="10258" max="10258" width="1.125" style="6" customWidth="1"/>
    <col min="10259" max="10355" width="9" style="6" customWidth="1"/>
    <col min="10356" max="10462" width="12.5" style="6"/>
    <col min="10463" max="10463" width="0.25" style="6" customWidth="1"/>
    <col min="10464" max="10464" width="12.5" style="6"/>
    <col min="10465" max="10465" width="7.875" style="6" customWidth="1"/>
    <col min="10466" max="10466" width="81" style="6" customWidth="1"/>
    <col min="10467" max="10510" width="4" style="6" customWidth="1"/>
    <col min="10511" max="10511" width="17.375" style="6" customWidth="1"/>
    <col min="10512" max="10512" width="1.625" style="6" customWidth="1"/>
    <col min="10513" max="10513" width="9" style="6" customWidth="1"/>
    <col min="10514" max="10514" width="1.125" style="6" customWidth="1"/>
    <col min="10515" max="10611" width="9" style="6" customWidth="1"/>
    <col min="10612" max="10718" width="12.5" style="6"/>
    <col min="10719" max="10719" width="0.25" style="6" customWidth="1"/>
    <col min="10720" max="10720" width="12.5" style="6"/>
    <col min="10721" max="10721" width="7.875" style="6" customWidth="1"/>
    <col min="10722" max="10722" width="81" style="6" customWidth="1"/>
    <col min="10723" max="10766" width="4" style="6" customWidth="1"/>
    <col min="10767" max="10767" width="17.375" style="6" customWidth="1"/>
    <col min="10768" max="10768" width="1.625" style="6" customWidth="1"/>
    <col min="10769" max="10769" width="9" style="6" customWidth="1"/>
    <col min="10770" max="10770" width="1.125" style="6" customWidth="1"/>
    <col min="10771" max="10867" width="9" style="6" customWidth="1"/>
    <col min="10868" max="10974" width="12.5" style="6"/>
    <col min="10975" max="10975" width="0.25" style="6" customWidth="1"/>
    <col min="10976" max="10976" width="12.5" style="6"/>
    <col min="10977" max="10977" width="7.875" style="6" customWidth="1"/>
    <col min="10978" max="10978" width="81" style="6" customWidth="1"/>
    <col min="10979" max="11022" width="4" style="6" customWidth="1"/>
    <col min="11023" max="11023" width="17.375" style="6" customWidth="1"/>
    <col min="11024" max="11024" width="1.625" style="6" customWidth="1"/>
    <col min="11025" max="11025" width="9" style="6" customWidth="1"/>
    <col min="11026" max="11026" width="1.125" style="6" customWidth="1"/>
    <col min="11027" max="11123" width="9" style="6" customWidth="1"/>
    <col min="11124" max="11230" width="12.5" style="6"/>
    <col min="11231" max="11231" width="0.25" style="6" customWidth="1"/>
    <col min="11232" max="11232" width="12.5" style="6"/>
    <col min="11233" max="11233" width="7.875" style="6" customWidth="1"/>
    <col min="11234" max="11234" width="81" style="6" customWidth="1"/>
    <col min="11235" max="11278" width="4" style="6" customWidth="1"/>
    <col min="11279" max="11279" width="17.375" style="6" customWidth="1"/>
    <col min="11280" max="11280" width="1.625" style="6" customWidth="1"/>
    <col min="11281" max="11281" width="9" style="6" customWidth="1"/>
    <col min="11282" max="11282" width="1.125" style="6" customWidth="1"/>
    <col min="11283" max="11379" width="9" style="6" customWidth="1"/>
    <col min="11380" max="11486" width="12.5" style="6"/>
    <col min="11487" max="11487" width="0.25" style="6" customWidth="1"/>
    <col min="11488" max="11488" width="12.5" style="6"/>
    <col min="11489" max="11489" width="7.875" style="6" customWidth="1"/>
    <col min="11490" max="11490" width="81" style="6" customWidth="1"/>
    <col min="11491" max="11534" width="4" style="6" customWidth="1"/>
    <col min="11535" max="11535" width="17.375" style="6" customWidth="1"/>
    <col min="11536" max="11536" width="1.625" style="6" customWidth="1"/>
    <col min="11537" max="11537" width="9" style="6" customWidth="1"/>
    <col min="11538" max="11538" width="1.125" style="6" customWidth="1"/>
    <col min="11539" max="11635" width="9" style="6" customWidth="1"/>
    <col min="11636" max="11742" width="12.5" style="6"/>
    <col min="11743" max="11743" width="0.25" style="6" customWidth="1"/>
    <col min="11744" max="11744" width="12.5" style="6"/>
    <col min="11745" max="11745" width="7.875" style="6" customWidth="1"/>
    <col min="11746" max="11746" width="81" style="6" customWidth="1"/>
    <col min="11747" max="11790" width="4" style="6" customWidth="1"/>
    <col min="11791" max="11791" width="17.375" style="6" customWidth="1"/>
    <col min="11792" max="11792" width="1.625" style="6" customWidth="1"/>
    <col min="11793" max="11793" width="9" style="6" customWidth="1"/>
    <col min="11794" max="11794" width="1.125" style="6" customWidth="1"/>
    <col min="11795" max="11891" width="9" style="6" customWidth="1"/>
    <col min="11892" max="11998" width="12.5" style="6"/>
    <col min="11999" max="11999" width="0.25" style="6" customWidth="1"/>
    <col min="12000" max="12000" width="12.5" style="6"/>
    <col min="12001" max="12001" width="7.875" style="6" customWidth="1"/>
    <col min="12002" max="12002" width="81" style="6" customWidth="1"/>
    <col min="12003" max="12046" width="4" style="6" customWidth="1"/>
    <col min="12047" max="12047" width="17.375" style="6" customWidth="1"/>
    <col min="12048" max="12048" width="1.625" style="6" customWidth="1"/>
    <col min="12049" max="12049" width="9" style="6" customWidth="1"/>
    <col min="12050" max="12050" width="1.125" style="6" customWidth="1"/>
    <col min="12051" max="12147" width="9" style="6" customWidth="1"/>
    <col min="12148" max="12254" width="12.5" style="6"/>
    <col min="12255" max="12255" width="0.25" style="6" customWidth="1"/>
    <col min="12256" max="12256" width="12.5" style="6"/>
    <col min="12257" max="12257" width="7.875" style="6" customWidth="1"/>
    <col min="12258" max="12258" width="81" style="6" customWidth="1"/>
    <col min="12259" max="12302" width="4" style="6" customWidth="1"/>
    <col min="12303" max="12303" width="17.375" style="6" customWidth="1"/>
    <col min="12304" max="12304" width="1.625" style="6" customWidth="1"/>
    <col min="12305" max="12305" width="9" style="6" customWidth="1"/>
    <col min="12306" max="12306" width="1.125" style="6" customWidth="1"/>
    <col min="12307" max="12403" width="9" style="6" customWidth="1"/>
    <col min="12404" max="12510" width="12.5" style="6"/>
    <col min="12511" max="12511" width="0.25" style="6" customWidth="1"/>
    <col min="12512" max="12512" width="12.5" style="6"/>
    <col min="12513" max="12513" width="7.875" style="6" customWidth="1"/>
    <col min="12514" max="12514" width="81" style="6" customWidth="1"/>
    <col min="12515" max="12558" width="4" style="6" customWidth="1"/>
    <col min="12559" max="12559" width="17.375" style="6" customWidth="1"/>
    <col min="12560" max="12560" width="1.625" style="6" customWidth="1"/>
    <col min="12561" max="12561" width="9" style="6" customWidth="1"/>
    <col min="12562" max="12562" width="1.125" style="6" customWidth="1"/>
    <col min="12563" max="12659" width="9" style="6" customWidth="1"/>
    <col min="12660" max="12766" width="12.5" style="6"/>
    <col min="12767" max="12767" width="0.25" style="6" customWidth="1"/>
    <col min="12768" max="12768" width="12.5" style="6"/>
    <col min="12769" max="12769" width="7.875" style="6" customWidth="1"/>
    <col min="12770" max="12770" width="81" style="6" customWidth="1"/>
    <col min="12771" max="12814" width="4" style="6" customWidth="1"/>
    <col min="12815" max="12815" width="17.375" style="6" customWidth="1"/>
    <col min="12816" max="12816" width="1.625" style="6" customWidth="1"/>
    <col min="12817" max="12817" width="9" style="6" customWidth="1"/>
    <col min="12818" max="12818" width="1.125" style="6" customWidth="1"/>
    <col min="12819" max="12915" width="9" style="6" customWidth="1"/>
    <col min="12916" max="13022" width="12.5" style="6"/>
    <col min="13023" max="13023" width="0.25" style="6" customWidth="1"/>
    <col min="13024" max="13024" width="12.5" style="6"/>
    <col min="13025" max="13025" width="7.875" style="6" customWidth="1"/>
    <col min="13026" max="13026" width="81" style="6" customWidth="1"/>
    <col min="13027" max="13070" width="4" style="6" customWidth="1"/>
    <col min="13071" max="13071" width="17.375" style="6" customWidth="1"/>
    <col min="13072" max="13072" width="1.625" style="6" customWidth="1"/>
    <col min="13073" max="13073" width="9" style="6" customWidth="1"/>
    <col min="13074" max="13074" width="1.125" style="6" customWidth="1"/>
    <col min="13075" max="13171" width="9" style="6" customWidth="1"/>
    <col min="13172" max="13278" width="12.5" style="6"/>
    <col min="13279" max="13279" width="0.25" style="6" customWidth="1"/>
    <col min="13280" max="13280" width="12.5" style="6"/>
    <col min="13281" max="13281" width="7.875" style="6" customWidth="1"/>
    <col min="13282" max="13282" width="81" style="6" customWidth="1"/>
    <col min="13283" max="13326" width="4" style="6" customWidth="1"/>
    <col min="13327" max="13327" width="17.375" style="6" customWidth="1"/>
    <col min="13328" max="13328" width="1.625" style="6" customWidth="1"/>
    <col min="13329" max="13329" width="9" style="6" customWidth="1"/>
    <col min="13330" max="13330" width="1.125" style="6" customWidth="1"/>
    <col min="13331" max="13427" width="9" style="6" customWidth="1"/>
    <col min="13428" max="13534" width="12.5" style="6"/>
    <col min="13535" max="13535" width="0.25" style="6" customWidth="1"/>
    <col min="13536" max="13536" width="12.5" style="6"/>
    <col min="13537" max="13537" width="7.875" style="6" customWidth="1"/>
    <col min="13538" max="13538" width="81" style="6" customWidth="1"/>
    <col min="13539" max="13582" width="4" style="6" customWidth="1"/>
    <col min="13583" max="13583" width="17.375" style="6" customWidth="1"/>
    <col min="13584" max="13584" width="1.625" style="6" customWidth="1"/>
    <col min="13585" max="13585" width="9" style="6" customWidth="1"/>
    <col min="13586" max="13586" width="1.125" style="6" customWidth="1"/>
    <col min="13587" max="13683" width="9" style="6" customWidth="1"/>
    <col min="13684" max="13790" width="12.5" style="6"/>
    <col min="13791" max="13791" width="0.25" style="6" customWidth="1"/>
    <col min="13792" max="13792" width="12.5" style="6"/>
    <col min="13793" max="13793" width="7.875" style="6" customWidth="1"/>
    <col min="13794" max="13794" width="81" style="6" customWidth="1"/>
    <col min="13795" max="13838" width="4" style="6" customWidth="1"/>
    <col min="13839" max="13839" width="17.375" style="6" customWidth="1"/>
    <col min="13840" max="13840" width="1.625" style="6" customWidth="1"/>
    <col min="13841" max="13841" width="9" style="6" customWidth="1"/>
    <col min="13842" max="13842" width="1.125" style="6" customWidth="1"/>
    <col min="13843" max="13939" width="9" style="6" customWidth="1"/>
    <col min="13940" max="14046" width="12.5" style="6"/>
    <col min="14047" max="14047" width="0.25" style="6" customWidth="1"/>
    <col min="14048" max="14048" width="12.5" style="6"/>
    <col min="14049" max="14049" width="7.875" style="6" customWidth="1"/>
    <col min="14050" max="14050" width="81" style="6" customWidth="1"/>
    <col min="14051" max="14094" width="4" style="6" customWidth="1"/>
    <col min="14095" max="14095" width="17.375" style="6" customWidth="1"/>
    <col min="14096" max="14096" width="1.625" style="6" customWidth="1"/>
    <col min="14097" max="14097" width="9" style="6" customWidth="1"/>
    <col min="14098" max="14098" width="1.125" style="6" customWidth="1"/>
    <col min="14099" max="14195" width="9" style="6" customWidth="1"/>
    <col min="14196" max="14302" width="12.5" style="6"/>
    <col min="14303" max="14303" width="0.25" style="6" customWidth="1"/>
    <col min="14304" max="14304" width="12.5" style="6"/>
    <col min="14305" max="14305" width="7.875" style="6" customWidth="1"/>
    <col min="14306" max="14306" width="81" style="6" customWidth="1"/>
    <col min="14307" max="14350" width="4" style="6" customWidth="1"/>
    <col min="14351" max="14351" width="17.375" style="6" customWidth="1"/>
    <col min="14352" max="14352" width="1.625" style="6" customWidth="1"/>
    <col min="14353" max="14353" width="9" style="6" customWidth="1"/>
    <col min="14354" max="14354" width="1.125" style="6" customWidth="1"/>
    <col min="14355" max="14451" width="9" style="6" customWidth="1"/>
    <col min="14452" max="14558" width="12.5" style="6"/>
    <col min="14559" max="14559" width="0.25" style="6" customWidth="1"/>
    <col min="14560" max="14560" width="12.5" style="6"/>
    <col min="14561" max="14561" width="7.875" style="6" customWidth="1"/>
    <col min="14562" max="14562" width="81" style="6" customWidth="1"/>
    <col min="14563" max="14606" width="4" style="6" customWidth="1"/>
    <col min="14607" max="14607" width="17.375" style="6" customWidth="1"/>
    <col min="14608" max="14608" width="1.625" style="6" customWidth="1"/>
    <col min="14609" max="14609" width="9" style="6" customWidth="1"/>
    <col min="14610" max="14610" width="1.125" style="6" customWidth="1"/>
    <col min="14611" max="14707" width="9" style="6" customWidth="1"/>
    <col min="14708" max="14814" width="12.5" style="6"/>
    <col min="14815" max="14815" width="0.25" style="6" customWidth="1"/>
    <col min="14816" max="14816" width="12.5" style="6"/>
    <col min="14817" max="14817" width="7.875" style="6" customWidth="1"/>
    <col min="14818" max="14818" width="81" style="6" customWidth="1"/>
    <col min="14819" max="14862" width="4" style="6" customWidth="1"/>
    <col min="14863" max="14863" width="17.375" style="6" customWidth="1"/>
    <col min="14864" max="14864" width="1.625" style="6" customWidth="1"/>
    <col min="14865" max="14865" width="9" style="6" customWidth="1"/>
    <col min="14866" max="14866" width="1.125" style="6" customWidth="1"/>
    <col min="14867" max="14963" width="9" style="6" customWidth="1"/>
    <col min="14964" max="15070" width="12.5" style="6"/>
    <col min="15071" max="15071" width="0.25" style="6" customWidth="1"/>
    <col min="15072" max="15072" width="12.5" style="6"/>
    <col min="15073" max="15073" width="7.875" style="6" customWidth="1"/>
    <col min="15074" max="15074" width="81" style="6" customWidth="1"/>
    <col min="15075" max="15118" width="4" style="6" customWidth="1"/>
    <col min="15119" max="15119" width="17.375" style="6" customWidth="1"/>
    <col min="15120" max="15120" width="1.625" style="6" customWidth="1"/>
    <col min="15121" max="15121" width="9" style="6" customWidth="1"/>
    <col min="15122" max="15122" width="1.125" style="6" customWidth="1"/>
    <col min="15123" max="15219" width="9" style="6" customWidth="1"/>
    <col min="15220" max="15326" width="12.5" style="6"/>
    <col min="15327" max="15327" width="0.25" style="6" customWidth="1"/>
    <col min="15328" max="15328" width="12.5" style="6"/>
    <col min="15329" max="15329" width="7.875" style="6" customWidth="1"/>
    <col min="15330" max="15330" width="81" style="6" customWidth="1"/>
    <col min="15331" max="15374" width="4" style="6" customWidth="1"/>
    <col min="15375" max="15375" width="17.375" style="6" customWidth="1"/>
    <col min="15376" max="15376" width="1.625" style="6" customWidth="1"/>
    <col min="15377" max="15377" width="9" style="6" customWidth="1"/>
    <col min="15378" max="15378" width="1.125" style="6" customWidth="1"/>
    <col min="15379" max="15475" width="9" style="6" customWidth="1"/>
    <col min="15476" max="15582" width="12.5" style="6"/>
    <col min="15583" max="15583" width="0.25" style="6" customWidth="1"/>
    <col min="15584" max="15584" width="12.5" style="6"/>
    <col min="15585" max="15585" width="7.875" style="6" customWidth="1"/>
    <col min="15586" max="15586" width="81" style="6" customWidth="1"/>
    <col min="15587" max="15630" width="4" style="6" customWidth="1"/>
    <col min="15631" max="15631" width="17.375" style="6" customWidth="1"/>
    <col min="15632" max="15632" width="1.625" style="6" customWidth="1"/>
    <col min="15633" max="15633" width="9" style="6" customWidth="1"/>
    <col min="15634" max="15634" width="1.125" style="6" customWidth="1"/>
    <col min="15635" max="15731" width="9" style="6" customWidth="1"/>
    <col min="15732" max="15838" width="12.5" style="6"/>
    <col min="15839" max="15839" width="0.25" style="6" customWidth="1"/>
    <col min="15840" max="15840" width="12.5" style="6"/>
    <col min="15841" max="15841" width="7.875" style="6" customWidth="1"/>
    <col min="15842" max="15842" width="81" style="6" customWidth="1"/>
    <col min="15843" max="15886" width="4" style="6" customWidth="1"/>
    <col min="15887" max="15887" width="17.375" style="6" customWidth="1"/>
    <col min="15888" max="15888" width="1.625" style="6" customWidth="1"/>
    <col min="15889" max="15889" width="9" style="6" customWidth="1"/>
    <col min="15890" max="15890" width="1.125" style="6" customWidth="1"/>
    <col min="15891" max="15987" width="9" style="6" customWidth="1"/>
    <col min="15988" max="16094" width="12.5" style="6"/>
    <col min="16095" max="16095" width="0.25" style="6" customWidth="1"/>
    <col min="16096" max="16096" width="12.5" style="6"/>
    <col min="16097" max="16097" width="7.875" style="6" customWidth="1"/>
    <col min="16098" max="16098" width="81" style="6" customWidth="1"/>
    <col min="16099" max="16142" width="4" style="6" customWidth="1"/>
    <col min="16143" max="16143" width="17.375" style="6" customWidth="1"/>
    <col min="16144" max="16144" width="1.625" style="6" customWidth="1"/>
    <col min="16145" max="16145" width="9" style="6" customWidth="1"/>
    <col min="16146" max="16146" width="1.125" style="6" customWidth="1"/>
    <col min="16147" max="16243" width="9" style="6" customWidth="1"/>
    <col min="16244" max="16362" width="12.5" style="6"/>
    <col min="16363" max="16378" width="12.5" style="6" customWidth="1"/>
    <col min="16379" max="16384" width="12.5" style="6"/>
  </cols>
  <sheetData>
    <row r="1" spans="1:24" s="1" customFormat="1" ht="18.600000000000001" customHeight="1" x14ac:dyDescent="0.2">
      <c r="B1" s="403" t="s">
        <v>118</v>
      </c>
      <c r="C1" s="403"/>
      <c r="D1" s="403"/>
      <c r="E1" s="403"/>
      <c r="F1" s="403"/>
      <c r="G1" s="403"/>
      <c r="H1" s="403"/>
      <c r="I1" s="403"/>
      <c r="J1" s="403"/>
      <c r="K1" s="403"/>
      <c r="L1" s="403"/>
      <c r="M1" s="403"/>
      <c r="N1" s="403"/>
      <c r="O1" s="403"/>
      <c r="P1" s="403"/>
      <c r="Q1" s="403"/>
      <c r="R1" s="403"/>
      <c r="S1" s="2"/>
      <c r="T1" s="2"/>
      <c r="U1" s="141"/>
      <c r="V1" s="2"/>
      <c r="W1" s="2"/>
    </row>
    <row r="2" spans="1:24" s="1" customFormat="1" ht="11.25" customHeight="1" thickBot="1" x14ac:dyDescent="0.25"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1:24" ht="17.25" customHeight="1" x14ac:dyDescent="0.2">
      <c r="A3" s="5"/>
      <c r="B3" s="404" t="s">
        <v>117</v>
      </c>
      <c r="C3" s="405"/>
      <c r="D3" s="406"/>
      <c r="E3" s="413" t="s">
        <v>1</v>
      </c>
      <c r="F3" s="414"/>
      <c r="G3" s="414"/>
      <c r="H3" s="414"/>
      <c r="I3" s="414"/>
      <c r="J3" s="414"/>
      <c r="K3" s="414"/>
      <c r="L3" s="414"/>
      <c r="M3" s="414"/>
      <c r="N3" s="414"/>
      <c r="O3" s="414"/>
      <c r="P3" s="414"/>
      <c r="Q3" s="414"/>
      <c r="R3" s="414"/>
      <c r="S3" s="414"/>
      <c r="T3" s="414"/>
      <c r="U3" s="414"/>
      <c r="V3" s="414"/>
      <c r="W3" s="415"/>
    </row>
    <row r="4" spans="1:24" ht="17.25" customHeight="1" x14ac:dyDescent="0.2">
      <c r="A4" s="5"/>
      <c r="B4" s="407"/>
      <c r="C4" s="408"/>
      <c r="D4" s="409"/>
      <c r="E4" s="416">
        <v>2025</v>
      </c>
      <c r="F4" s="417"/>
      <c r="G4" s="417"/>
      <c r="H4" s="418"/>
      <c r="I4" s="416">
        <v>2030</v>
      </c>
      <c r="J4" s="417"/>
      <c r="K4" s="417"/>
      <c r="L4" s="417"/>
      <c r="M4" s="418"/>
      <c r="N4" s="416">
        <v>2040</v>
      </c>
      <c r="O4" s="417"/>
      <c r="P4" s="417"/>
      <c r="Q4" s="417"/>
      <c r="R4" s="417"/>
      <c r="S4" s="417"/>
      <c r="T4" s="417"/>
      <c r="U4" s="417"/>
      <c r="V4" s="417"/>
      <c r="W4" s="418"/>
    </row>
    <row r="5" spans="1:24" ht="17.25" customHeight="1" thickBot="1" x14ac:dyDescent="0.25">
      <c r="A5" s="5"/>
      <c r="B5" s="410"/>
      <c r="C5" s="411"/>
      <c r="D5" s="412"/>
      <c r="E5" s="7">
        <v>2022</v>
      </c>
      <c r="F5" s="8">
        <v>2023</v>
      </c>
      <c r="G5" s="8">
        <v>2024</v>
      </c>
      <c r="H5" s="9">
        <v>2025</v>
      </c>
      <c r="I5" s="7">
        <v>2026</v>
      </c>
      <c r="J5" s="88">
        <v>2027</v>
      </c>
      <c r="K5" s="88">
        <v>2028</v>
      </c>
      <c r="L5" s="88">
        <v>2029</v>
      </c>
      <c r="M5" s="8">
        <v>2030</v>
      </c>
      <c r="N5" s="7">
        <v>2031</v>
      </c>
      <c r="O5" s="8">
        <v>2032</v>
      </c>
      <c r="P5" s="8">
        <v>2033</v>
      </c>
      <c r="Q5" s="8">
        <v>2034</v>
      </c>
      <c r="R5" s="8">
        <v>2035</v>
      </c>
      <c r="S5" s="8">
        <v>2036</v>
      </c>
      <c r="T5" s="8">
        <v>2037</v>
      </c>
      <c r="U5" s="8">
        <v>2038</v>
      </c>
      <c r="V5" s="8">
        <v>2039</v>
      </c>
      <c r="W5" s="9">
        <v>2040</v>
      </c>
    </row>
    <row r="6" spans="1:24" ht="25.5" hidden="1" customHeight="1" x14ac:dyDescent="0.2">
      <c r="A6" s="5"/>
      <c r="B6" s="419" t="str">
        <f>CONCATENATE(ProgrMesures_Budget!B5," - ",ProgrMesures_Budget!C5)</f>
        <v>Strategic axis 1 - Ensure food self-sufficiency through more sustainable agricultural and livestock production</v>
      </c>
      <c r="C6" s="420"/>
      <c r="D6" s="421"/>
      <c r="E6" s="10"/>
      <c r="F6" s="11"/>
      <c r="G6" s="11"/>
      <c r="H6" s="12"/>
      <c r="I6" s="13"/>
      <c r="J6" s="11"/>
      <c r="K6" s="11"/>
      <c r="L6" s="11"/>
      <c r="M6" s="14"/>
      <c r="N6" s="10"/>
      <c r="O6" s="11"/>
      <c r="P6" s="11"/>
      <c r="Q6" s="11"/>
      <c r="R6" s="11"/>
      <c r="S6" s="11"/>
      <c r="T6" s="11"/>
      <c r="U6" s="11"/>
      <c r="V6" s="11"/>
      <c r="W6" s="12"/>
    </row>
    <row r="7" spans="1:24" hidden="1" x14ac:dyDescent="0.2">
      <c r="A7" s="5"/>
      <c r="B7" s="422" t="str">
        <f>CONCATENATE(ProgrMesures_Budget!B7," - ",ProgrMesures_Budget!C7)</f>
        <v>Provision 1.1 - Increased and sustainable agricultural production and productivity</v>
      </c>
      <c r="C7" s="423"/>
      <c r="D7" s="424"/>
      <c r="E7" s="15"/>
      <c r="F7" s="16"/>
      <c r="G7" s="16"/>
      <c r="H7" s="17"/>
      <c r="I7" s="18"/>
      <c r="J7" s="16"/>
      <c r="K7" s="16"/>
      <c r="L7" s="16"/>
      <c r="M7" s="19"/>
      <c r="N7" s="15"/>
      <c r="O7" s="16"/>
      <c r="P7" s="16"/>
      <c r="Q7" s="16"/>
      <c r="R7" s="16"/>
      <c r="S7" s="16"/>
      <c r="T7" s="20"/>
      <c r="U7" s="20"/>
      <c r="V7" s="20"/>
      <c r="W7" s="21"/>
    </row>
    <row r="8" spans="1:24" ht="13.15" hidden="1" customHeight="1" x14ac:dyDescent="0.2">
      <c r="A8" s="5"/>
      <c r="B8" s="22"/>
      <c r="C8" s="23" t="str">
        <f>ProgrMesures_Budget!B8</f>
        <v>Measure  1.1.1</v>
      </c>
      <c r="D8" s="24" t="str">
        <f>ProgrMesures_Budget!C8</f>
        <v>Building a productive and resilient agri-food system (P173070)</v>
      </c>
      <c r="E8" s="29"/>
      <c r="F8" s="26"/>
      <c r="G8" s="26"/>
      <c r="H8" s="45"/>
      <c r="I8" s="25"/>
      <c r="J8" s="26"/>
      <c r="K8" s="26"/>
      <c r="L8" s="27"/>
      <c r="M8" s="30"/>
      <c r="N8" s="29"/>
      <c r="O8" s="27"/>
      <c r="P8" s="27"/>
      <c r="Q8" s="27"/>
      <c r="R8" s="27"/>
      <c r="S8" s="27"/>
      <c r="T8" s="27"/>
      <c r="U8" s="27"/>
      <c r="V8" s="27"/>
      <c r="W8" s="30"/>
    </row>
    <row r="9" spans="1:24" ht="13.15" hidden="1" customHeight="1" x14ac:dyDescent="0.2">
      <c r="A9" s="5"/>
      <c r="B9" s="22"/>
      <c r="C9" s="23" t="str">
        <f>ProgrMesures_Budget!B9</f>
        <v>Measure  1.1.2</v>
      </c>
      <c r="D9" s="24" t="str">
        <f>ProgrMesures_Budget!C9</f>
        <v>Develop mangrove agriculture (PRO-GB)</v>
      </c>
      <c r="E9" s="25"/>
      <c r="F9" s="26"/>
      <c r="G9" s="26"/>
      <c r="H9" s="28"/>
      <c r="I9" s="29"/>
      <c r="J9" s="27"/>
      <c r="K9" s="27"/>
      <c r="L9" s="27"/>
      <c r="M9" s="30"/>
      <c r="N9" s="29"/>
      <c r="O9" s="27"/>
      <c r="P9" s="27"/>
      <c r="Q9" s="27"/>
      <c r="R9" s="27"/>
      <c r="S9" s="27"/>
      <c r="T9" s="27"/>
      <c r="U9" s="27"/>
      <c r="V9" s="27"/>
      <c r="W9" s="30"/>
    </row>
    <row r="10" spans="1:24" ht="13.15" hidden="1" customHeight="1" x14ac:dyDescent="0.2">
      <c r="A10" s="5"/>
      <c r="B10" s="22"/>
      <c r="C10" s="23" t="str">
        <f>ProgrMesures_Budget!B10</f>
        <v>Measure  1.1.3</v>
      </c>
      <c r="D10" s="24" t="str">
        <f>ProgrMesures_Budget!C10</f>
        <v>Project to support the improvement of resilience in mangrove rice production in The Gambia</v>
      </c>
      <c r="E10" s="29"/>
      <c r="F10" s="26"/>
      <c r="G10" s="26"/>
      <c r="H10" s="45"/>
      <c r="I10" s="25"/>
      <c r="J10" s="27"/>
      <c r="K10" s="27"/>
      <c r="L10" s="27"/>
      <c r="M10" s="30"/>
      <c r="N10" s="29"/>
      <c r="O10" s="27"/>
      <c r="P10" s="27"/>
      <c r="Q10" s="27"/>
      <c r="R10" s="27"/>
      <c r="S10" s="27"/>
      <c r="T10" s="27"/>
      <c r="U10" s="27"/>
      <c r="V10" s="27"/>
      <c r="W10" s="30"/>
    </row>
    <row r="11" spans="1:24" ht="13.15" hidden="1" customHeight="1" x14ac:dyDescent="0.2">
      <c r="A11" s="5"/>
      <c r="B11" s="22"/>
      <c r="C11" s="23" t="str">
        <f>ProgrMesures_Budget!B11</f>
        <v>Measure  1.1.4</v>
      </c>
      <c r="D11" s="24" t="str">
        <f>ProgrMesures_Budget!C11</f>
        <v>Improving agricultural production and productivity</v>
      </c>
      <c r="E11" s="29"/>
      <c r="F11" s="26"/>
      <c r="G11" s="26"/>
      <c r="H11" s="45"/>
      <c r="I11" s="25"/>
      <c r="J11" s="27"/>
      <c r="K11" s="27"/>
      <c r="L11" s="27"/>
      <c r="M11" s="30"/>
      <c r="N11" s="29"/>
      <c r="O11" s="27"/>
      <c r="P11" s="27"/>
      <c r="Q11" s="27"/>
      <c r="R11" s="27"/>
      <c r="S11" s="27"/>
      <c r="T11" s="27"/>
      <c r="U11" s="27"/>
      <c r="V11" s="27"/>
      <c r="W11" s="30"/>
    </row>
    <row r="12" spans="1:24" ht="13.15" hidden="1" customHeight="1" x14ac:dyDescent="0.2">
      <c r="A12" s="5"/>
      <c r="B12" s="22"/>
      <c r="C12" s="23" t="str">
        <f>ProgrMesures_Budget!B12</f>
        <v>Measure  1.1.5</v>
      </c>
      <c r="D12" s="24" t="str">
        <f>ProgrMesures_Budget!C12</f>
        <v>Rice cultivation development</v>
      </c>
      <c r="E12" s="29"/>
      <c r="F12" s="26"/>
      <c r="G12" s="26"/>
      <c r="H12" s="45"/>
      <c r="I12" s="25"/>
      <c r="J12" s="26"/>
      <c r="K12" s="27"/>
      <c r="L12" s="27"/>
      <c r="M12" s="30"/>
      <c r="N12" s="29"/>
      <c r="O12" s="27"/>
      <c r="P12" s="27"/>
      <c r="Q12" s="27"/>
      <c r="R12" s="27"/>
      <c r="S12" s="27"/>
      <c r="T12" s="27"/>
      <c r="U12" s="27"/>
      <c r="V12" s="27"/>
      <c r="W12" s="30"/>
    </row>
    <row r="13" spans="1:24" hidden="1" x14ac:dyDescent="0.2">
      <c r="A13" s="5"/>
      <c r="B13" s="422" t="str">
        <f>CONCATENATE(ProgrMesures_Budget!B13," - ",ProgrMesures_Budget!C13)</f>
        <v>Provision 1.2 - Increase in irrigated land / increase in irrigated crops</v>
      </c>
      <c r="C13" s="423"/>
      <c r="D13" s="424"/>
      <c r="E13" s="15"/>
      <c r="F13" s="16"/>
      <c r="G13" s="16"/>
      <c r="H13" s="17"/>
      <c r="I13" s="18"/>
      <c r="J13" s="16"/>
      <c r="K13" s="16"/>
      <c r="L13" s="16"/>
      <c r="M13" s="19"/>
      <c r="N13" s="15"/>
      <c r="O13" s="16"/>
      <c r="P13" s="16"/>
      <c r="Q13" s="16"/>
      <c r="R13" s="16"/>
      <c r="S13" s="16"/>
      <c r="T13" s="16"/>
      <c r="U13" s="16"/>
      <c r="V13" s="16"/>
      <c r="W13" s="17"/>
      <c r="X13" s="173"/>
    </row>
    <row r="14" spans="1:24" ht="13.15" hidden="1" customHeight="1" x14ac:dyDescent="0.2">
      <c r="A14" s="5"/>
      <c r="B14" s="37"/>
      <c r="C14" s="23" t="s">
        <v>160</v>
      </c>
      <c r="D14" s="24" t="str">
        <f>ProgrMesures_Budget!C14</f>
        <v>Infrastructure development and management (ROOTS)</v>
      </c>
      <c r="E14" s="25"/>
      <c r="F14" s="26"/>
      <c r="G14" s="26"/>
      <c r="H14" s="35"/>
      <c r="I14" s="44"/>
      <c r="J14" s="27"/>
      <c r="K14" s="27"/>
      <c r="L14" s="27"/>
      <c r="M14" s="28"/>
      <c r="N14" s="29"/>
      <c r="O14" s="27"/>
      <c r="P14" s="27"/>
      <c r="Q14" s="27"/>
      <c r="R14" s="27"/>
      <c r="S14" s="27"/>
      <c r="T14" s="27"/>
      <c r="U14" s="27"/>
      <c r="V14" s="27"/>
      <c r="W14" s="30"/>
      <c r="X14" s="173"/>
    </row>
    <row r="15" spans="1:24" ht="13.15" hidden="1" customHeight="1" x14ac:dyDescent="0.2">
      <c r="A15" s="5"/>
      <c r="B15" s="37"/>
      <c r="C15" s="23" t="s">
        <v>161</v>
      </c>
      <c r="D15" s="24" t="str">
        <f>ProgrMesures_Budget!C15</f>
        <v>Realisation/rehabilitation of facilities and infrastructure management (SODAGRI)</v>
      </c>
      <c r="E15" s="38"/>
      <c r="F15" s="26"/>
      <c r="G15" s="26"/>
      <c r="H15" s="33"/>
      <c r="I15" s="34"/>
      <c r="J15" s="31"/>
      <c r="K15" s="47"/>
      <c r="L15" s="47"/>
      <c r="M15" s="48"/>
      <c r="N15" s="29"/>
      <c r="O15" s="27"/>
      <c r="P15" s="27"/>
      <c r="Q15" s="27"/>
      <c r="R15" s="27"/>
      <c r="S15" s="27"/>
      <c r="T15" s="27"/>
      <c r="U15" s="27"/>
      <c r="V15" s="27"/>
      <c r="W15" s="30"/>
      <c r="X15" s="173"/>
    </row>
    <row r="16" spans="1:24" ht="13.15" hidden="1" customHeight="1" x14ac:dyDescent="0.2">
      <c r="A16" s="5"/>
      <c r="B16" s="22"/>
      <c r="C16" s="23" t="s">
        <v>162</v>
      </c>
      <c r="D16" s="24" t="str">
        <f>ProgrMesures_Budget!C16</f>
        <v>Realisation/rehabilitation of hydro-agricultural schemes in Guinea Bissau in the OMVG area (16,100 ha)</v>
      </c>
      <c r="E16" s="31"/>
      <c r="F16" s="176"/>
      <c r="G16" s="31"/>
      <c r="H16" s="42"/>
      <c r="I16" s="174"/>
      <c r="J16" s="26"/>
      <c r="K16" s="26"/>
      <c r="L16" s="26"/>
      <c r="M16" s="45"/>
      <c r="N16" s="25"/>
      <c r="O16" s="26"/>
      <c r="P16" s="26"/>
      <c r="Q16" s="26"/>
      <c r="R16" s="26"/>
      <c r="S16" s="26"/>
      <c r="T16" s="26"/>
      <c r="U16" s="26"/>
      <c r="V16" s="26"/>
      <c r="W16" s="35"/>
      <c r="X16" s="173"/>
    </row>
    <row r="17" spans="1:24" ht="13.15" hidden="1" customHeight="1" x14ac:dyDescent="0.2">
      <c r="A17" s="5"/>
      <c r="B17" s="22"/>
      <c r="C17" s="23" t="s">
        <v>163</v>
      </c>
      <c r="D17" s="24" t="str">
        <f>ProgrMesures_Budget!C17</f>
        <v>Construction of the Camposa hydro-agricultural scheme (2000 ha), in Guinea-Bissau, on the Géba River.</v>
      </c>
      <c r="E17" s="47"/>
      <c r="F17" s="323"/>
      <c r="G17" s="31"/>
      <c r="H17" s="42"/>
      <c r="I17" s="174"/>
      <c r="J17" s="26"/>
      <c r="K17" s="26"/>
      <c r="L17" s="26"/>
      <c r="M17" s="28"/>
      <c r="N17" s="29"/>
      <c r="O17" s="27"/>
      <c r="P17" s="27"/>
      <c r="Q17" s="27"/>
      <c r="R17" s="27"/>
      <c r="S17" s="27"/>
      <c r="T17" s="27"/>
      <c r="U17" s="27"/>
      <c r="V17" s="27"/>
      <c r="W17" s="30"/>
      <c r="X17" s="173"/>
    </row>
    <row r="18" spans="1:24" ht="13.15" hidden="1" customHeight="1" x14ac:dyDescent="0.2">
      <c r="A18" s="5"/>
      <c r="B18" s="22"/>
      <c r="C18" s="23" t="s">
        <v>164</v>
      </c>
      <c r="D18" s="24" t="str">
        <f>ProgrMesures_Budget!C18</f>
        <v>Development and expansion of hydro-agricultural schemes in Guinea in the OMVG area</v>
      </c>
      <c r="E18" s="31"/>
      <c r="F18" s="176"/>
      <c r="G18" s="31"/>
      <c r="H18" s="42"/>
      <c r="I18" s="174"/>
      <c r="J18" s="26"/>
      <c r="K18" s="26"/>
      <c r="L18" s="26"/>
      <c r="M18" s="45"/>
      <c r="N18" s="25"/>
      <c r="O18" s="26"/>
      <c r="P18" s="26"/>
      <c r="Q18" s="26"/>
      <c r="R18" s="26"/>
      <c r="S18" s="26"/>
      <c r="T18" s="26"/>
      <c r="U18" s="26"/>
      <c r="V18" s="26"/>
      <c r="W18" s="35"/>
      <c r="X18" s="173"/>
    </row>
    <row r="19" spans="1:24" ht="13.15" hidden="1" customHeight="1" x14ac:dyDescent="0.2">
      <c r="A19" s="5"/>
      <c r="B19" s="36"/>
      <c r="C19" s="23" t="s">
        <v>165</v>
      </c>
      <c r="D19" s="24" t="str">
        <f>ProgrMesures_Budget!C19</f>
        <v>Expansion of irrigated agriculture in The Gambia and Senegal in the OMVG area</v>
      </c>
      <c r="E19" s="321"/>
      <c r="F19" s="31"/>
      <c r="G19" s="31"/>
      <c r="H19" s="313"/>
      <c r="I19" s="34"/>
      <c r="J19" s="31"/>
      <c r="K19" s="31"/>
      <c r="L19" s="31"/>
      <c r="M19" s="42"/>
      <c r="N19" s="34"/>
      <c r="O19" s="31"/>
      <c r="P19" s="31"/>
      <c r="Q19" s="31"/>
      <c r="R19" s="31"/>
      <c r="S19" s="31"/>
      <c r="T19" s="31"/>
      <c r="U19" s="31"/>
      <c r="V19" s="31"/>
      <c r="W19" s="42"/>
      <c r="X19" s="173"/>
    </row>
    <row r="20" spans="1:24" hidden="1" x14ac:dyDescent="0.2">
      <c r="A20" s="5"/>
      <c r="B20" s="422" t="str">
        <f>CONCATENATE(ProgrMesures_Budget!B20," - ",ProgrMesures_Budget!C20)</f>
        <v>Provision 1.3 - Increased production and diversification of livestock</v>
      </c>
      <c r="C20" s="423"/>
      <c r="D20" s="424"/>
      <c r="E20" s="15"/>
      <c r="F20" s="16"/>
      <c r="G20" s="16"/>
      <c r="H20" s="17"/>
      <c r="I20" s="18"/>
      <c r="J20" s="16"/>
      <c r="K20" s="16"/>
      <c r="L20" s="16"/>
      <c r="M20" s="19"/>
      <c r="N20" s="15"/>
      <c r="O20" s="16"/>
      <c r="P20" s="16"/>
      <c r="Q20" s="16"/>
      <c r="R20" s="16"/>
      <c r="S20" s="16"/>
      <c r="T20" s="16"/>
      <c r="U20" s="16"/>
      <c r="V20" s="16"/>
      <c r="W20" s="17"/>
      <c r="X20" s="173"/>
    </row>
    <row r="21" spans="1:24" ht="13.15" hidden="1" customHeight="1" x14ac:dyDescent="0.2">
      <c r="A21" s="5"/>
      <c r="B21" s="37"/>
      <c r="C21" s="23" t="s">
        <v>166</v>
      </c>
      <c r="D21" s="24" t="str">
        <f>ProgrMesures_Budget!C21</f>
        <v>Health protection of livestock in the OMVG area</v>
      </c>
      <c r="E21" s="38"/>
      <c r="F21" s="26"/>
      <c r="G21" s="26"/>
      <c r="H21" s="35"/>
      <c r="I21" s="174"/>
      <c r="J21" s="26"/>
      <c r="K21" s="27"/>
      <c r="L21" s="27"/>
      <c r="M21" s="28"/>
      <c r="N21" s="29"/>
      <c r="O21" s="27"/>
      <c r="P21" s="27"/>
      <c r="Q21" s="27"/>
      <c r="R21" s="27"/>
      <c r="S21" s="27"/>
      <c r="T21" s="27"/>
      <c r="U21" s="27"/>
      <c r="V21" s="27"/>
      <c r="W21" s="30"/>
      <c r="X21" s="173"/>
    </row>
    <row r="22" spans="1:24" ht="13.15" hidden="1" customHeight="1" x14ac:dyDescent="0.2">
      <c r="A22" s="5"/>
      <c r="B22" s="37"/>
      <c r="C22" s="23" t="s">
        <v>167</v>
      </c>
      <c r="D22" s="24" t="str">
        <f>ProgrMesures_Budget!C22</f>
        <v>Regional research programme on genetic improvement is developed and implemented in the OMVG area</v>
      </c>
      <c r="E22" s="38"/>
      <c r="F22" s="27"/>
      <c r="G22" s="26"/>
      <c r="H22" s="33"/>
      <c r="I22" s="34"/>
      <c r="J22" s="31"/>
      <c r="K22" s="31"/>
      <c r="L22" s="47"/>
      <c r="M22" s="48"/>
      <c r="N22" s="29"/>
      <c r="O22" s="27"/>
      <c r="P22" s="27"/>
      <c r="Q22" s="27"/>
      <c r="R22" s="27"/>
      <c r="S22" s="27"/>
      <c r="T22" s="27"/>
      <c r="U22" s="27"/>
      <c r="V22" s="27"/>
      <c r="W22" s="30"/>
      <c r="X22" s="173"/>
    </row>
    <row r="23" spans="1:24" ht="13.15" hidden="1" customHeight="1" x14ac:dyDescent="0.2">
      <c r="A23" s="5"/>
      <c r="B23" s="22"/>
      <c r="C23" s="23" t="s">
        <v>168</v>
      </c>
      <c r="D23" s="24" t="str">
        <f>ProgrMesures_Budget!C23</f>
        <v>Special artificial insemination programme to improve national milk production</v>
      </c>
      <c r="E23" s="38"/>
      <c r="F23" s="27"/>
      <c r="G23" s="26"/>
      <c r="H23" s="33"/>
      <c r="I23" s="34"/>
      <c r="J23" s="31"/>
      <c r="K23" s="31"/>
      <c r="L23" s="47"/>
      <c r="M23" s="48"/>
      <c r="N23" s="29"/>
      <c r="O23" s="27"/>
      <c r="P23" s="27"/>
      <c r="Q23" s="27"/>
      <c r="R23" s="27"/>
      <c r="S23" s="27"/>
      <c r="T23" s="27"/>
      <c r="U23" s="27"/>
      <c r="V23" s="27"/>
      <c r="W23" s="30"/>
      <c r="X23" s="173"/>
    </row>
    <row r="24" spans="1:24" ht="22.9" hidden="1" customHeight="1" x14ac:dyDescent="0.2">
      <c r="A24" s="5"/>
      <c r="B24" s="22"/>
      <c r="C24" s="23" t="s">
        <v>169</v>
      </c>
      <c r="D24" s="24" t="str">
        <f>ProgrMesures_Budget!C24</f>
        <v>Programme for the development of pastoral hydraulic infrastructure and management of agro-sylvo-pastoral spaces and resources and improvement of cross-border transhumance.</v>
      </c>
      <c r="E24" s="38"/>
      <c r="F24" s="27"/>
      <c r="G24" s="26"/>
      <c r="H24" s="33"/>
      <c r="I24" s="34"/>
      <c r="J24" s="31"/>
      <c r="K24" s="31"/>
      <c r="L24" s="47"/>
      <c r="M24" s="48"/>
      <c r="N24" s="29"/>
      <c r="O24" s="27"/>
      <c r="P24" s="27"/>
      <c r="Q24" s="27"/>
      <c r="R24" s="27"/>
      <c r="S24" s="27"/>
      <c r="T24" s="27"/>
      <c r="U24" s="27"/>
      <c r="V24" s="27"/>
      <c r="W24" s="30"/>
      <c r="X24" s="173"/>
    </row>
    <row r="25" spans="1:24" ht="13.15" hidden="1" customHeight="1" x14ac:dyDescent="0.2">
      <c r="A25" s="5"/>
      <c r="B25" s="36"/>
      <c r="C25" s="23" t="s">
        <v>170</v>
      </c>
      <c r="D25" s="24" t="str">
        <f>ProgrMesures_Budget!C25</f>
        <v>Diversification of livestock forms through the promotion of poultry farming, small ruminant farming, beekeeping, etc.</v>
      </c>
      <c r="E25" s="38"/>
      <c r="F25" s="26"/>
      <c r="G25" s="26"/>
      <c r="H25" s="35"/>
      <c r="I25" s="174"/>
      <c r="J25" s="26"/>
      <c r="K25" s="27"/>
      <c r="L25" s="27"/>
      <c r="M25" s="28"/>
      <c r="N25" s="29"/>
      <c r="O25" s="27"/>
      <c r="P25" s="27"/>
      <c r="Q25" s="27"/>
      <c r="R25" s="27"/>
      <c r="S25" s="27"/>
      <c r="T25" s="27"/>
      <c r="U25" s="27"/>
      <c r="V25" s="27"/>
      <c r="W25" s="30"/>
      <c r="X25" s="173"/>
    </row>
    <row r="26" spans="1:24" ht="13.15" hidden="1" customHeight="1" x14ac:dyDescent="0.2">
      <c r="A26" s="5"/>
      <c r="B26" s="36"/>
      <c r="C26" s="23" t="s">
        <v>171</v>
      </c>
      <c r="D26" s="24" t="str">
        <f>ProgrMesures_Budget!C26</f>
        <v>Intensified livestock systems (improved management through intensification in peri-urban areas.</v>
      </c>
      <c r="E26" s="46"/>
      <c r="F26" s="31"/>
      <c r="G26" s="31"/>
      <c r="H26" s="313"/>
      <c r="I26" s="34"/>
      <c r="J26" s="31"/>
      <c r="K26" s="31"/>
      <c r="L26" s="47"/>
      <c r="M26" s="48"/>
      <c r="N26" s="361"/>
      <c r="O26" s="47"/>
      <c r="P26" s="47"/>
      <c r="Q26" s="47"/>
      <c r="R26" s="47"/>
      <c r="S26" s="47"/>
      <c r="T26" s="47"/>
      <c r="U26" s="47"/>
      <c r="V26" s="47"/>
      <c r="W26" s="48"/>
      <c r="X26" s="173"/>
    </row>
    <row r="27" spans="1:24" hidden="1" x14ac:dyDescent="0.2">
      <c r="A27" s="5"/>
      <c r="B27" s="431" t="str">
        <f>CONCATENATE(ProgrMesures_Budget!B27," - ",ProgrMesures_Budget!C27)</f>
        <v>Provision 1.4 - Development of agro-forestry food products</v>
      </c>
      <c r="C27" s="432"/>
      <c r="D27" s="433"/>
      <c r="E27" s="15"/>
      <c r="F27" s="16"/>
      <c r="G27" s="16"/>
      <c r="H27" s="17"/>
      <c r="I27" s="18"/>
      <c r="J27" s="16"/>
      <c r="K27" s="16"/>
      <c r="L27" s="16"/>
      <c r="M27" s="19"/>
      <c r="N27" s="15"/>
      <c r="O27" s="16"/>
      <c r="P27" s="16"/>
      <c r="Q27" s="16"/>
      <c r="R27" s="16"/>
      <c r="S27" s="16"/>
      <c r="T27" s="16"/>
      <c r="U27" s="16"/>
      <c r="V27" s="16"/>
      <c r="W27" s="17"/>
      <c r="X27" s="173"/>
    </row>
    <row r="28" spans="1:24" hidden="1" x14ac:dyDescent="0.2">
      <c r="A28" s="5"/>
      <c r="B28" s="37"/>
      <c r="C28" s="23" t="s">
        <v>172</v>
      </c>
      <c r="D28" s="24" t="str">
        <f>ProgrMesures_Budget!C28</f>
        <v>Programme to improve techniques for collecting and valorising non-timber forest products (NTFPs).</v>
      </c>
      <c r="E28" s="38"/>
      <c r="F28" s="27"/>
      <c r="G28" s="26"/>
      <c r="H28" s="35"/>
      <c r="I28" s="174"/>
      <c r="J28" s="26"/>
      <c r="K28" s="26"/>
      <c r="L28" s="27"/>
      <c r="M28" s="28"/>
      <c r="N28" s="29"/>
      <c r="O28" s="27"/>
      <c r="P28" s="27"/>
      <c r="Q28" s="27"/>
      <c r="R28" s="27"/>
      <c r="S28" s="27"/>
      <c r="T28" s="27"/>
      <c r="U28" s="27"/>
      <c r="V28" s="27"/>
      <c r="W28" s="30"/>
      <c r="X28" s="173"/>
    </row>
    <row r="29" spans="1:24" ht="24" hidden="1" x14ac:dyDescent="0.2">
      <c r="A29" s="5"/>
      <c r="B29" s="37"/>
      <c r="C29" s="23" t="s">
        <v>173</v>
      </c>
      <c r="D29" s="24" t="str">
        <f>ProgrMesures_Budget!C29</f>
        <v>Technical, managerial and organisational capacity building programme for Non Timber Forest Products (NTFP) institutions and stakeholders.</v>
      </c>
      <c r="E29" s="38"/>
      <c r="F29" s="27"/>
      <c r="G29" s="26"/>
      <c r="H29" s="33"/>
      <c r="I29" s="34"/>
      <c r="J29" s="47"/>
      <c r="K29" s="47"/>
      <c r="L29" s="47"/>
      <c r="M29" s="48"/>
      <c r="N29" s="29"/>
      <c r="O29" s="27"/>
      <c r="P29" s="27"/>
      <c r="Q29" s="27"/>
      <c r="R29" s="27"/>
      <c r="S29" s="27"/>
      <c r="T29" s="27"/>
      <c r="U29" s="27"/>
      <c r="V29" s="27"/>
      <c r="W29" s="30"/>
      <c r="X29" s="173"/>
    </row>
    <row r="30" spans="1:24" hidden="1" x14ac:dyDescent="0.2">
      <c r="A30" s="5"/>
      <c r="B30" s="22"/>
      <c r="C30" s="23" t="s">
        <v>174</v>
      </c>
      <c r="D30" s="24" t="str">
        <f>ProgrMesures_Budget!C30</f>
        <v>Project to increase forest resources in the three OMVG catchment areas</v>
      </c>
      <c r="E30" s="29"/>
      <c r="F30" s="26"/>
      <c r="G30" s="26"/>
      <c r="H30" s="45"/>
      <c r="I30" s="25"/>
      <c r="J30" s="26"/>
      <c r="K30" s="27"/>
      <c r="L30" s="27"/>
      <c r="M30" s="30"/>
      <c r="N30" s="29"/>
      <c r="O30" s="27"/>
      <c r="P30" s="27"/>
      <c r="Q30" s="27"/>
      <c r="R30" s="27"/>
      <c r="S30" s="27"/>
      <c r="T30" s="27"/>
      <c r="U30" s="27"/>
      <c r="V30" s="27"/>
      <c r="W30" s="30"/>
      <c r="X30" s="173"/>
    </row>
    <row r="31" spans="1:24" hidden="1" x14ac:dyDescent="0.2">
      <c r="A31" s="5"/>
      <c r="B31" s="431" t="str">
        <f>CONCATENATE(ProgrMesures_Budget!B31," - ",ProgrMesures_Budget!C31)</f>
        <v>Provision 1.5 - Promotion of fisheries production sectors</v>
      </c>
      <c r="C31" s="432"/>
      <c r="D31" s="433"/>
      <c r="E31" s="15"/>
      <c r="F31" s="16"/>
      <c r="G31" s="16"/>
      <c r="H31" s="17"/>
      <c r="I31" s="18"/>
      <c r="J31" s="16"/>
      <c r="K31" s="16"/>
      <c r="L31" s="16"/>
      <c r="M31" s="19"/>
      <c r="N31" s="15"/>
      <c r="O31" s="16"/>
      <c r="P31" s="16"/>
      <c r="Q31" s="16"/>
      <c r="R31" s="16"/>
      <c r="S31" s="16"/>
      <c r="T31" s="16"/>
      <c r="U31" s="16"/>
      <c r="V31" s="16"/>
      <c r="W31" s="17"/>
      <c r="X31" s="173"/>
    </row>
    <row r="32" spans="1:24" hidden="1" x14ac:dyDescent="0.2">
      <c r="A32" s="5"/>
      <c r="B32" s="37"/>
      <c r="C32" s="23" t="s">
        <v>175</v>
      </c>
      <c r="D32" s="24" t="str">
        <f>ProgrMesures_Budget!C32</f>
        <v>Inland fisheries and inland waterways management programme</v>
      </c>
      <c r="E32" s="38"/>
      <c r="F32" s="26"/>
      <c r="G32" s="26"/>
      <c r="H32" s="35"/>
      <c r="I32" s="174"/>
      <c r="J32" s="26"/>
      <c r="K32" s="27"/>
      <c r="L32" s="27"/>
      <c r="M32" s="28"/>
      <c r="N32" s="29"/>
      <c r="O32" s="27"/>
      <c r="P32" s="27"/>
      <c r="Q32" s="27"/>
      <c r="R32" s="27"/>
      <c r="S32" s="27"/>
      <c r="T32" s="27"/>
      <c r="U32" s="27"/>
      <c r="V32" s="27"/>
      <c r="W32" s="30"/>
      <c r="X32" s="173"/>
    </row>
    <row r="33" spans="1:24" hidden="1" x14ac:dyDescent="0.2">
      <c r="A33" s="5"/>
      <c r="B33" s="37"/>
      <c r="C33" s="23" t="s">
        <v>176</v>
      </c>
      <c r="D33" s="24" t="str">
        <f>ProgrMesures_Budget!C33</f>
        <v>Programme to strengthen the technical, managerial and organisational capacities of institutions and actors</v>
      </c>
      <c r="E33" s="38"/>
      <c r="F33" s="26"/>
      <c r="G33" s="26"/>
      <c r="H33" s="33"/>
      <c r="I33" s="34"/>
      <c r="J33" s="31"/>
      <c r="K33" s="47"/>
      <c r="L33" s="47"/>
      <c r="M33" s="48"/>
      <c r="N33" s="29"/>
      <c r="O33" s="27"/>
      <c r="P33" s="27"/>
      <c r="Q33" s="27"/>
      <c r="R33" s="27"/>
      <c r="S33" s="27"/>
      <c r="T33" s="27"/>
      <c r="U33" s="27"/>
      <c r="V33" s="27"/>
      <c r="W33" s="30"/>
      <c r="X33" s="173"/>
    </row>
    <row r="34" spans="1:24" hidden="1" x14ac:dyDescent="0.2">
      <c r="A34" s="5"/>
      <c r="B34" s="37"/>
      <c r="C34" s="23" t="s">
        <v>177</v>
      </c>
      <c r="D34" s="24" t="str">
        <f>ProgrMesures_Budget!C34</f>
        <v>Monitoring, Control and Surveillance Programme for Fisheries Activities</v>
      </c>
      <c r="E34" s="43"/>
      <c r="F34" s="176"/>
      <c r="G34" s="31"/>
      <c r="H34" s="42"/>
      <c r="I34" s="174"/>
      <c r="J34" s="26"/>
      <c r="K34" s="26"/>
      <c r="L34" s="26"/>
      <c r="M34" s="45"/>
      <c r="N34" s="25"/>
      <c r="O34" s="26"/>
      <c r="P34" s="26"/>
      <c r="Q34" s="26"/>
      <c r="R34" s="26"/>
      <c r="S34" s="26"/>
      <c r="T34" s="26"/>
      <c r="U34" s="26"/>
      <c r="V34" s="26"/>
      <c r="W34" s="35"/>
      <c r="X34" s="173"/>
    </row>
    <row r="35" spans="1:24" hidden="1" x14ac:dyDescent="0.2">
      <c r="A35" s="5"/>
      <c r="B35" s="37"/>
      <c r="C35" s="23" t="s">
        <v>178</v>
      </c>
      <c r="D35" s="24" t="str">
        <f>ProgrMesures_Budget!C35</f>
        <v>Capacity building programme for professional organisations and consultation bodies</v>
      </c>
      <c r="E35" s="41"/>
      <c r="F35" s="33"/>
      <c r="G35" s="26"/>
      <c r="H35" s="35"/>
      <c r="I35" s="174"/>
      <c r="J35" s="26"/>
      <c r="K35" s="41"/>
      <c r="L35" s="41"/>
      <c r="M35" s="171"/>
      <c r="N35" s="38"/>
      <c r="O35" s="41"/>
      <c r="P35" s="41"/>
      <c r="Q35" s="41"/>
      <c r="R35" s="41"/>
      <c r="S35" s="41"/>
      <c r="T35" s="41"/>
      <c r="U35" s="41"/>
      <c r="V35" s="41"/>
      <c r="W35" s="39"/>
      <c r="X35" s="173"/>
    </row>
    <row r="36" spans="1:24" hidden="1" x14ac:dyDescent="0.2">
      <c r="A36" s="5"/>
      <c r="B36" s="37"/>
      <c r="C36" s="23" t="s">
        <v>179</v>
      </c>
      <c r="D36" s="24" t="str">
        <f>ProgrMesures_Budget!C36</f>
        <v>Strengthening cooperation in fisheries and aquaculture</v>
      </c>
      <c r="E36" s="46"/>
      <c r="F36" s="43"/>
      <c r="G36" s="43"/>
      <c r="H36" s="172"/>
      <c r="I36" s="63"/>
      <c r="J36" s="43"/>
      <c r="K36" s="43"/>
      <c r="L36" s="31"/>
      <c r="M36" s="42"/>
      <c r="N36" s="34"/>
      <c r="O36" s="31"/>
      <c r="P36" s="31"/>
      <c r="Q36" s="43"/>
      <c r="R36" s="43"/>
      <c r="S36" s="43"/>
      <c r="T36" s="43"/>
      <c r="U36" s="43"/>
      <c r="V36" s="43"/>
      <c r="W36" s="49"/>
      <c r="X36" s="173"/>
    </row>
    <row r="37" spans="1:24" hidden="1" x14ac:dyDescent="0.2">
      <c r="A37" s="5"/>
      <c r="B37" s="22"/>
      <c r="C37" s="23" t="str">
        <f>ProgrMesures_Budget!B37</f>
        <v>Measure  1.5.6</v>
      </c>
      <c r="D37" s="24" t="str">
        <f>ProgrMesures_Budget!C37</f>
        <v>Improving the production of inland fisheries resources in the OMVG catchment areas</v>
      </c>
      <c r="E37" s="29"/>
      <c r="F37" s="26"/>
      <c r="G37" s="26"/>
      <c r="H37" s="45"/>
      <c r="I37" s="25"/>
      <c r="J37" s="26"/>
      <c r="K37" s="27"/>
      <c r="L37" s="27"/>
      <c r="M37" s="30"/>
      <c r="N37" s="29"/>
      <c r="O37" s="27"/>
      <c r="P37" s="27"/>
      <c r="Q37" s="27"/>
      <c r="R37" s="27"/>
      <c r="S37" s="27"/>
      <c r="T37" s="27"/>
      <c r="U37" s="27"/>
      <c r="V37" s="27"/>
      <c r="W37" s="30"/>
      <c r="X37" s="173"/>
    </row>
    <row r="38" spans="1:24" hidden="1" x14ac:dyDescent="0.2">
      <c r="A38" s="5"/>
      <c r="B38" s="431" t="str">
        <f>CONCATENATE(ProgrMesures_Budget!B38," - ",ProgrMesures_Budget!C38)</f>
        <v>Provision 1.6 - Planning and coordinating the provision of agricultural extension and training services</v>
      </c>
      <c r="C38" s="432"/>
      <c r="D38" s="433"/>
      <c r="E38" s="15"/>
      <c r="F38" s="16"/>
      <c r="G38" s="16"/>
      <c r="H38" s="17"/>
      <c r="I38" s="18"/>
      <c r="J38" s="16"/>
      <c r="K38" s="16"/>
      <c r="L38" s="16"/>
      <c r="M38" s="19"/>
      <c r="N38" s="15"/>
      <c r="O38" s="16"/>
      <c r="P38" s="16"/>
      <c r="Q38" s="16"/>
      <c r="R38" s="16"/>
      <c r="S38" s="16"/>
      <c r="T38" s="16"/>
      <c r="U38" s="16"/>
      <c r="V38" s="16"/>
      <c r="W38" s="17"/>
    </row>
    <row r="39" spans="1:24" hidden="1" x14ac:dyDescent="0.2">
      <c r="A39" s="5"/>
      <c r="B39" s="180"/>
      <c r="C39" s="181" t="s">
        <v>180</v>
      </c>
      <c r="D39" s="24" t="str">
        <f>ProgrMesures_Budget!C39</f>
        <v>Provision of agricultural services (ROOTS)</v>
      </c>
      <c r="E39" s="25"/>
      <c r="F39" s="26"/>
      <c r="G39" s="26"/>
      <c r="H39" s="35"/>
      <c r="I39" s="40"/>
      <c r="J39" s="27"/>
      <c r="K39" s="27"/>
      <c r="L39" s="27"/>
      <c r="M39" s="28"/>
      <c r="N39" s="29"/>
      <c r="O39" s="27"/>
      <c r="P39" s="27"/>
      <c r="Q39" s="27"/>
      <c r="R39" s="27"/>
      <c r="S39" s="27"/>
      <c r="T39" s="27"/>
      <c r="U39" s="27"/>
      <c r="V39" s="27"/>
      <c r="W39" s="30"/>
    </row>
    <row r="40" spans="1:24" hidden="1" x14ac:dyDescent="0.2">
      <c r="A40" s="5"/>
      <c r="B40" s="180"/>
      <c r="C40" s="181" t="s">
        <v>181</v>
      </c>
      <c r="D40" s="24" t="str">
        <f>ProgrMesures_Budget!C40</f>
        <v>Organisational functioning and management (SODAGRI's strategic plan)</v>
      </c>
      <c r="E40" s="38"/>
      <c r="F40" s="26"/>
      <c r="G40" s="26"/>
      <c r="H40" s="33"/>
      <c r="I40" s="34"/>
      <c r="J40" s="31"/>
      <c r="K40" s="47"/>
      <c r="L40" s="47"/>
      <c r="M40" s="48"/>
      <c r="N40" s="29"/>
      <c r="O40" s="27"/>
      <c r="P40" s="27"/>
      <c r="Q40" s="27"/>
      <c r="R40" s="27"/>
      <c r="S40" s="27"/>
      <c r="T40" s="27"/>
      <c r="U40" s="27"/>
      <c r="V40" s="27"/>
      <c r="W40" s="30"/>
    </row>
    <row r="41" spans="1:24" ht="13.5" hidden="1" thickBot="1" x14ac:dyDescent="0.25">
      <c r="A41" s="5"/>
      <c r="B41" s="187"/>
      <c r="C41" s="181" t="s">
        <v>182</v>
      </c>
      <c r="D41" s="24" t="str">
        <f>ProgrMesures_Budget!C41</f>
        <v>Capacity building programme for commodity groups and consultation bodies</v>
      </c>
      <c r="E41" s="43"/>
      <c r="F41" s="176"/>
      <c r="G41" s="31"/>
      <c r="H41" s="42"/>
      <c r="I41" s="174"/>
      <c r="J41" s="26"/>
      <c r="K41" s="27"/>
      <c r="L41" s="27"/>
      <c r="M41" s="28"/>
      <c r="N41" s="29"/>
      <c r="O41" s="27"/>
      <c r="P41" s="27"/>
      <c r="Q41" s="27"/>
      <c r="R41" s="27"/>
      <c r="S41" s="27"/>
      <c r="T41" s="27"/>
      <c r="U41" s="27"/>
      <c r="V41" s="27"/>
      <c r="W41" s="30"/>
    </row>
    <row r="42" spans="1:24" ht="26.25" hidden="1" customHeight="1" x14ac:dyDescent="0.2">
      <c r="A42" s="5"/>
      <c r="B42" s="425" t="str">
        <f>CONCATENATE(ProgrMesures_Budget!B45," - ",ProgrMesures_Budget!C45)</f>
        <v>Strategic axis 2 - Improving people's income and reducing poverty</v>
      </c>
      <c r="C42" s="426"/>
      <c r="D42" s="427"/>
      <c r="E42" s="50"/>
      <c r="F42" s="51"/>
      <c r="G42" s="51"/>
      <c r="H42" s="52"/>
      <c r="I42" s="53"/>
      <c r="J42" s="51"/>
      <c r="K42" s="51"/>
      <c r="L42" s="51"/>
      <c r="M42" s="54"/>
      <c r="N42" s="50"/>
      <c r="O42" s="51"/>
      <c r="P42" s="51"/>
      <c r="Q42" s="51"/>
      <c r="R42" s="51"/>
      <c r="S42" s="51"/>
      <c r="T42" s="51"/>
      <c r="U42" s="51"/>
      <c r="V42" s="51"/>
      <c r="W42" s="52"/>
      <c r="X42" s="173"/>
    </row>
    <row r="43" spans="1:24" hidden="1" x14ac:dyDescent="0.2">
      <c r="A43" s="5"/>
      <c r="B43" s="428" t="str">
        <f>CONCATENATE(ProgrMesures_Budget!B47," - ",ProgrMesures_Budget!C47)</f>
        <v>Provision 2.1 - Contribution to poverty reduction</v>
      </c>
      <c r="C43" s="429"/>
      <c r="D43" s="430"/>
      <c r="E43" s="55"/>
      <c r="F43" s="56"/>
      <c r="G43" s="56"/>
      <c r="H43" s="57"/>
      <c r="I43" s="58"/>
      <c r="J43" s="56"/>
      <c r="K43" s="56"/>
      <c r="L43" s="56"/>
      <c r="M43" s="59"/>
      <c r="N43" s="55"/>
      <c r="O43" s="56"/>
      <c r="P43" s="56"/>
      <c r="Q43" s="56"/>
      <c r="R43" s="56"/>
      <c r="S43" s="56"/>
      <c r="T43" s="56"/>
      <c r="U43" s="56"/>
      <c r="V43" s="56"/>
      <c r="W43" s="57"/>
      <c r="X43" s="173"/>
    </row>
    <row r="44" spans="1:24" hidden="1" x14ac:dyDescent="0.2">
      <c r="A44" s="5"/>
      <c r="B44" s="22"/>
      <c r="C44" s="23" t="s">
        <v>44</v>
      </c>
      <c r="D44" s="24" t="str">
        <f>ProgrMesures_Budget!C48</f>
        <v>Supporting the resilience of poor households to climate shocks (SODAGRI's strategic plan)</v>
      </c>
      <c r="E44" s="29"/>
      <c r="F44" s="61"/>
      <c r="G44" s="61"/>
      <c r="H44" s="62"/>
      <c r="I44" s="60"/>
      <c r="J44" s="27"/>
      <c r="K44" s="27"/>
      <c r="L44" s="27"/>
      <c r="M44" s="30"/>
      <c r="N44" s="29"/>
      <c r="O44" s="27"/>
      <c r="P44" s="27"/>
      <c r="Q44" s="27"/>
      <c r="R44" s="27"/>
      <c r="S44" s="27"/>
      <c r="T44" s="27"/>
      <c r="U44" s="27"/>
      <c r="V44" s="27"/>
      <c r="W44" s="30"/>
      <c r="X44" s="173"/>
    </row>
    <row r="45" spans="1:24" hidden="1" x14ac:dyDescent="0.2">
      <c r="A45" s="5"/>
      <c r="B45" s="22"/>
      <c r="C45" s="23" t="s">
        <v>45</v>
      </c>
      <c r="D45" s="24" t="str">
        <f>ProgrMesures_Budget!C49</f>
        <v>Support for fisheries in the Gambia, Kayanga/Geba and Koliba/Corubal river basins</v>
      </c>
      <c r="E45" s="361"/>
      <c r="F45" s="47"/>
      <c r="G45" s="47"/>
      <c r="H45" s="48"/>
      <c r="I45" s="362"/>
      <c r="J45" s="363"/>
      <c r="K45" s="363"/>
      <c r="L45" s="363"/>
      <c r="M45" s="364"/>
      <c r="N45" s="361"/>
      <c r="O45" s="47"/>
      <c r="P45" s="47"/>
      <c r="Q45" s="47"/>
      <c r="R45" s="47"/>
      <c r="S45" s="47"/>
      <c r="T45" s="47"/>
      <c r="U45" s="47"/>
      <c r="V45" s="47"/>
      <c r="W45" s="48"/>
    </row>
    <row r="46" spans="1:24" hidden="1" x14ac:dyDescent="0.2">
      <c r="A46" s="5"/>
      <c r="B46" s="379"/>
      <c r="C46" s="23" t="s">
        <v>46</v>
      </c>
      <c r="D46" s="380" t="str">
        <f>ProgrMesures_Budget!C50</f>
        <v>Gaoual-Koundara-Mali Integrated Rural Development Project (PDRI-GKM)</v>
      </c>
      <c r="E46" s="381"/>
      <c r="F46" s="363"/>
      <c r="G46" s="363"/>
      <c r="H46" s="48"/>
      <c r="I46" s="382"/>
      <c r="J46" s="47"/>
      <c r="K46" s="47"/>
      <c r="L46" s="47"/>
      <c r="M46" s="323"/>
      <c r="N46" s="361"/>
      <c r="O46" s="47"/>
      <c r="P46" s="47"/>
      <c r="Q46" s="47"/>
      <c r="R46" s="47"/>
      <c r="S46" s="47"/>
      <c r="T46" s="47"/>
      <c r="U46" s="47"/>
      <c r="V46" s="47"/>
      <c r="W46" s="48"/>
    </row>
    <row r="47" spans="1:24" hidden="1" x14ac:dyDescent="0.2">
      <c r="A47" s="5"/>
      <c r="B47" s="187"/>
      <c r="C47" s="23" t="s">
        <v>47</v>
      </c>
      <c r="D47" s="380" t="str">
        <f>ProgrMesures_Budget!C51</f>
        <v>Development of small areas for market gardening</v>
      </c>
      <c r="E47" s="355"/>
      <c r="F47" s="358"/>
      <c r="G47" s="358"/>
      <c r="H47" s="372"/>
      <c r="I47" s="383"/>
      <c r="J47" s="358"/>
      <c r="K47" s="356"/>
      <c r="L47" s="356"/>
      <c r="M47" s="360"/>
      <c r="N47" s="355"/>
      <c r="O47" s="356"/>
      <c r="P47" s="356"/>
      <c r="Q47" s="356"/>
      <c r="R47" s="356"/>
      <c r="S47" s="356"/>
      <c r="T47" s="356"/>
      <c r="U47" s="356"/>
      <c r="V47" s="356"/>
      <c r="W47" s="357"/>
    </row>
    <row r="48" spans="1:24" hidden="1" x14ac:dyDescent="0.2">
      <c r="A48" s="5"/>
      <c r="B48" s="180"/>
      <c r="C48" s="23" t="s">
        <v>48</v>
      </c>
      <c r="D48" s="24" t="str">
        <f>ProgrMesures_Budget!C52</f>
        <v>Non-timber forest products (NTFP) development project in OMVG watersheds</v>
      </c>
      <c r="E48" s="183"/>
      <c r="F48" s="61"/>
      <c r="G48" s="61"/>
      <c r="H48" s="62"/>
      <c r="I48" s="60"/>
      <c r="J48" s="61"/>
      <c r="K48" s="182"/>
      <c r="L48" s="182"/>
      <c r="M48" s="184"/>
      <c r="N48" s="183"/>
      <c r="O48" s="182"/>
      <c r="P48" s="182"/>
      <c r="Q48" s="182"/>
      <c r="R48" s="182"/>
      <c r="S48" s="182"/>
      <c r="T48" s="182"/>
      <c r="U48" s="182"/>
      <c r="V48" s="182"/>
      <c r="W48" s="184"/>
    </row>
    <row r="49" spans="1:23" hidden="1" x14ac:dyDescent="0.2">
      <c r="A49" s="5"/>
      <c r="B49" s="428" t="str">
        <f>CONCATENATE(ProgrMesures_Budget!B53," - ",ProgrMesures_Budget!C53)</f>
        <v>Provision 2.2 - Structuring of producer organisations</v>
      </c>
      <c r="C49" s="429"/>
      <c r="D49" s="430"/>
      <c r="E49" s="55"/>
      <c r="F49" s="56"/>
      <c r="G49" s="56"/>
      <c r="H49" s="57"/>
      <c r="I49" s="58"/>
      <c r="J49" s="56"/>
      <c r="K49" s="56"/>
      <c r="L49" s="56"/>
      <c r="M49" s="59"/>
      <c r="N49" s="55"/>
      <c r="O49" s="56"/>
      <c r="P49" s="56"/>
      <c r="Q49" s="56"/>
      <c r="R49" s="56"/>
      <c r="S49" s="56"/>
      <c r="T49" s="56"/>
      <c r="U49" s="56"/>
      <c r="V49" s="56"/>
      <c r="W49" s="57"/>
    </row>
    <row r="50" spans="1:23" hidden="1" x14ac:dyDescent="0.2">
      <c r="A50" s="5"/>
      <c r="B50" s="37"/>
      <c r="C50" s="23" t="s">
        <v>49</v>
      </c>
      <c r="D50" s="24" t="str">
        <f>ProgrMesures_Budget!C54</f>
        <v>Improving the business environment for commercial agricultural development (GIRAV)</v>
      </c>
      <c r="E50" s="29"/>
      <c r="F50" s="61"/>
      <c r="G50" s="61"/>
      <c r="H50" s="62"/>
      <c r="I50" s="60"/>
      <c r="J50" s="61"/>
      <c r="K50" s="27"/>
      <c r="L50" s="27"/>
      <c r="M50" s="30"/>
      <c r="N50" s="29"/>
      <c r="O50" s="27"/>
      <c r="P50" s="27"/>
      <c r="Q50" s="27"/>
      <c r="R50" s="27"/>
      <c r="S50" s="27"/>
      <c r="T50" s="27"/>
      <c r="U50" s="27"/>
      <c r="V50" s="27"/>
      <c r="W50" s="30"/>
    </row>
    <row r="51" spans="1:23" hidden="1" x14ac:dyDescent="0.2">
      <c r="A51" s="5"/>
      <c r="B51" s="36"/>
      <c r="C51" s="181" t="s">
        <v>50</v>
      </c>
      <c r="D51" s="24" t="str">
        <f>ProgrMesures_Budget!C55</f>
        <v>Promote the development of commercial agriculture (P164184)</v>
      </c>
      <c r="E51" s="60"/>
      <c r="F51" s="61"/>
      <c r="G51" s="61"/>
      <c r="H51" s="62"/>
      <c r="I51" s="60"/>
      <c r="J51" s="27"/>
      <c r="K51" s="27"/>
      <c r="L51" s="61"/>
      <c r="M51" s="62"/>
      <c r="N51" s="60"/>
      <c r="O51" s="61"/>
      <c r="P51" s="61"/>
      <c r="Q51" s="182"/>
      <c r="R51" s="182"/>
      <c r="S51" s="182"/>
      <c r="T51" s="182"/>
      <c r="U51" s="182"/>
      <c r="V51" s="182"/>
      <c r="W51" s="184"/>
    </row>
    <row r="52" spans="1:23" hidden="1" x14ac:dyDescent="0.2">
      <c r="A52" s="5"/>
      <c r="B52" s="180"/>
      <c r="C52" s="181" t="s">
        <v>51</v>
      </c>
      <c r="D52" s="24" t="str">
        <f>ProgrMesures_Budget!C56</f>
        <v>Institutional support and strengthening of agricultural services project</v>
      </c>
      <c r="E52" s="183"/>
      <c r="F52" s="61"/>
      <c r="G52" s="61"/>
      <c r="H52" s="62"/>
      <c r="I52" s="60"/>
      <c r="J52" s="61"/>
      <c r="K52" s="182"/>
      <c r="L52" s="182"/>
      <c r="M52" s="184"/>
      <c r="N52" s="183"/>
      <c r="O52" s="182"/>
      <c r="P52" s="182"/>
      <c r="Q52" s="182"/>
      <c r="R52" s="182"/>
      <c r="S52" s="182"/>
      <c r="T52" s="182"/>
      <c r="U52" s="182"/>
      <c r="V52" s="182"/>
      <c r="W52" s="184"/>
    </row>
    <row r="53" spans="1:23" hidden="1" x14ac:dyDescent="0.2">
      <c r="A53" s="5"/>
      <c r="B53" s="428" t="str">
        <f>CONCATENATE(ProgrMesures_Budget!B57," - ",ProgrMesures_Budget!C57)</f>
        <v>Provision 2.3 - Development of value chains, improvement of market access and revival of women's activities</v>
      </c>
      <c r="C53" s="429"/>
      <c r="D53" s="430"/>
      <c r="E53" s="55"/>
      <c r="F53" s="56"/>
      <c r="G53" s="56"/>
      <c r="H53" s="57"/>
      <c r="I53" s="58"/>
      <c r="J53" s="56"/>
      <c r="K53" s="56"/>
      <c r="L53" s="56"/>
      <c r="M53" s="59"/>
      <c r="N53" s="55"/>
      <c r="O53" s="56"/>
      <c r="P53" s="56"/>
      <c r="Q53" s="56"/>
      <c r="R53" s="56"/>
      <c r="S53" s="56"/>
      <c r="T53" s="56"/>
      <c r="U53" s="56"/>
      <c r="V53" s="56"/>
      <c r="W53" s="57"/>
    </row>
    <row r="54" spans="1:23" hidden="1" x14ac:dyDescent="0.2">
      <c r="A54" s="5"/>
      <c r="B54" s="180"/>
      <c r="C54" s="181" t="s">
        <v>52</v>
      </c>
      <c r="D54" s="24" t="str">
        <f>ProgrMesures_Budget!C58</f>
        <v>Market access (ROOTS)</v>
      </c>
      <c r="E54" s="183"/>
      <c r="F54" s="61"/>
      <c r="G54" s="61"/>
      <c r="H54" s="62"/>
      <c r="I54" s="60"/>
      <c r="J54" s="61"/>
      <c r="K54" s="182"/>
      <c r="L54" s="182"/>
      <c r="M54" s="184"/>
      <c r="N54" s="183"/>
      <c r="O54" s="182"/>
      <c r="P54" s="182"/>
      <c r="Q54" s="182"/>
      <c r="R54" s="182"/>
      <c r="S54" s="182"/>
      <c r="T54" s="182"/>
      <c r="U54" s="182"/>
      <c r="V54" s="182"/>
      <c r="W54" s="184"/>
    </row>
    <row r="55" spans="1:23" hidden="1" x14ac:dyDescent="0.2">
      <c r="A55" s="5"/>
      <c r="B55" s="180"/>
      <c r="C55" s="181" t="s">
        <v>53</v>
      </c>
      <c r="D55" s="24" t="str">
        <f>ProgrMesures_Budget!C59</f>
        <v>Value chain development (SODAGRI's strategic plan)</v>
      </c>
      <c r="E55" s="183"/>
      <c r="F55" s="61"/>
      <c r="G55" s="61"/>
      <c r="H55" s="62"/>
      <c r="I55" s="60"/>
      <c r="J55" s="61"/>
      <c r="K55" s="182"/>
      <c r="L55" s="182"/>
      <c r="M55" s="184"/>
      <c r="N55" s="183"/>
      <c r="O55" s="182"/>
      <c r="P55" s="182"/>
      <c r="Q55" s="182"/>
      <c r="R55" s="182"/>
      <c r="S55" s="182"/>
      <c r="T55" s="182"/>
      <c r="U55" s="182"/>
      <c r="V55" s="182"/>
      <c r="W55" s="184"/>
    </row>
    <row r="56" spans="1:23" hidden="1" x14ac:dyDescent="0.2">
      <c r="A56" s="5"/>
      <c r="B56" s="180"/>
      <c r="C56" s="181" t="s">
        <v>54</v>
      </c>
      <c r="D56" s="24" t="str">
        <f>ProgrMesures_Budget!C60</f>
        <v>Improving market access (P164184)</v>
      </c>
      <c r="E56" s="60"/>
      <c r="F56" s="61"/>
      <c r="G56" s="61"/>
      <c r="H56" s="62"/>
      <c r="I56" s="60"/>
      <c r="J56" s="27"/>
      <c r="K56" s="27"/>
      <c r="L56" s="61"/>
      <c r="M56" s="62"/>
      <c r="N56" s="60"/>
      <c r="O56" s="61"/>
      <c r="P56" s="61"/>
      <c r="Q56" s="27"/>
      <c r="R56" s="27"/>
      <c r="S56" s="27"/>
      <c r="T56" s="27"/>
      <c r="U56" s="27"/>
      <c r="V56" s="27"/>
      <c r="W56" s="184"/>
    </row>
    <row r="57" spans="1:23" hidden="1" x14ac:dyDescent="0.2">
      <c r="A57" s="5"/>
      <c r="B57" s="180"/>
      <c r="C57" s="181" t="s">
        <v>55</v>
      </c>
      <c r="D57" s="24" t="str">
        <f>ProgrMesures_Budget!C61</f>
        <v>Supporting private investment (P164184)</v>
      </c>
      <c r="E57" s="60"/>
      <c r="F57" s="61"/>
      <c r="G57" s="61"/>
      <c r="H57" s="62"/>
      <c r="I57" s="60"/>
      <c r="J57" s="27"/>
      <c r="K57" s="27"/>
      <c r="L57" s="61"/>
      <c r="M57" s="62"/>
      <c r="N57" s="60"/>
      <c r="O57" s="61"/>
      <c r="P57" s="61"/>
      <c r="Q57" s="27"/>
      <c r="R57" s="27"/>
      <c r="S57" s="27"/>
      <c r="T57" s="27"/>
      <c r="U57" s="27"/>
      <c r="V57" s="27"/>
      <c r="W57" s="184"/>
    </row>
    <row r="58" spans="1:23" hidden="1" x14ac:dyDescent="0.2">
      <c r="A58" s="5"/>
      <c r="B58" s="180"/>
      <c r="C58" s="181" t="s">
        <v>56</v>
      </c>
      <c r="D58" s="24" t="str">
        <f>ProgrMesures_Budget!C62</f>
        <v>Rice processing, preservation and marketing (PRO-GB)</v>
      </c>
      <c r="E58" s="60"/>
      <c r="F58" s="61"/>
      <c r="G58" s="27"/>
      <c r="H58" s="30"/>
      <c r="I58" s="29"/>
      <c r="J58" s="27"/>
      <c r="K58" s="27"/>
      <c r="L58" s="27"/>
      <c r="M58" s="30"/>
      <c r="N58" s="29"/>
      <c r="O58" s="27"/>
      <c r="P58" s="27"/>
      <c r="Q58" s="27"/>
      <c r="R58" s="27"/>
      <c r="S58" s="27"/>
      <c r="T58" s="27"/>
      <c r="U58" s="27"/>
      <c r="V58" s="27"/>
      <c r="W58" s="184"/>
    </row>
    <row r="59" spans="1:23" hidden="1" x14ac:dyDescent="0.2">
      <c r="A59" s="5"/>
      <c r="B59" s="180"/>
      <c r="C59" s="181" t="s">
        <v>57</v>
      </c>
      <c r="D59" s="24" t="str">
        <f>ProgrMesures_Budget!C63</f>
        <v>Fruit and vegetable value-adding programme</v>
      </c>
      <c r="E59" s="29"/>
      <c r="F59" s="61"/>
      <c r="G59" s="61"/>
      <c r="H59" s="62"/>
      <c r="I59" s="60"/>
      <c r="J59" s="61"/>
      <c r="K59" s="61"/>
      <c r="L59" s="61"/>
      <c r="M59" s="62"/>
      <c r="N59" s="29"/>
      <c r="O59" s="27"/>
      <c r="P59" s="27"/>
      <c r="Q59" s="27"/>
      <c r="R59" s="27"/>
      <c r="S59" s="27"/>
      <c r="T59" s="27"/>
      <c r="U59" s="27"/>
      <c r="V59" s="27"/>
      <c r="W59" s="184"/>
    </row>
    <row r="60" spans="1:23" hidden="1" x14ac:dyDescent="0.2">
      <c r="A60" s="5"/>
      <c r="B60" s="180"/>
      <c r="C60" s="23" t="s">
        <v>58</v>
      </c>
      <c r="D60" s="24" t="str">
        <f>ProgrMesures_Budget!C64</f>
        <v>In-country NTFP distribution and marketing system improvement programme</v>
      </c>
      <c r="E60" s="29"/>
      <c r="F60" s="27"/>
      <c r="G60" s="61"/>
      <c r="H60" s="62"/>
      <c r="I60" s="60"/>
      <c r="J60" s="61"/>
      <c r="K60" s="61"/>
      <c r="L60" s="27"/>
      <c r="M60" s="30"/>
      <c r="N60" s="29"/>
      <c r="O60" s="27"/>
      <c r="P60" s="27"/>
      <c r="Q60" s="27"/>
      <c r="R60" s="27"/>
      <c r="S60" s="27"/>
      <c r="T60" s="27"/>
      <c r="U60" s="27"/>
      <c r="V60" s="27"/>
      <c r="W60" s="184"/>
    </row>
    <row r="61" spans="1:23" hidden="1" x14ac:dyDescent="0.2">
      <c r="A61" s="5"/>
      <c r="B61" s="180"/>
      <c r="C61" s="23" t="s">
        <v>59</v>
      </c>
      <c r="D61" s="24" t="str">
        <f>ProgrMesures_Budget!C65</f>
        <v>In-country fish distribution and marketing system improvement programme</v>
      </c>
      <c r="E61" s="188"/>
      <c r="F61" s="363"/>
      <c r="G61" s="363"/>
      <c r="H61" s="376"/>
      <c r="I61" s="361"/>
      <c r="J61" s="47"/>
      <c r="K61" s="185"/>
      <c r="L61" s="185"/>
      <c r="M61" s="186"/>
      <c r="N61" s="188"/>
      <c r="O61" s="185"/>
      <c r="P61" s="185"/>
      <c r="Q61" s="185"/>
      <c r="R61" s="185"/>
      <c r="S61" s="185"/>
      <c r="T61" s="185"/>
      <c r="U61" s="185"/>
      <c r="V61" s="185"/>
      <c r="W61" s="186"/>
    </row>
    <row r="62" spans="1:23" ht="24" hidden="1" x14ac:dyDescent="0.2">
      <c r="A62" s="5"/>
      <c r="B62" s="180"/>
      <c r="C62" s="23" t="s">
        <v>60</v>
      </c>
      <c r="D62" s="24" t="str">
        <f>ProgrMesures_Budget!C66</f>
        <v>Project for the diversification of family agriculture, integrated markets and nutrition in the face of climate change in Guinea Bissau (REDE)</v>
      </c>
      <c r="E62" s="365"/>
      <c r="F62" s="358"/>
      <c r="G62" s="358"/>
      <c r="H62" s="372"/>
      <c r="I62" s="359"/>
      <c r="J62" s="356"/>
      <c r="K62" s="373"/>
      <c r="L62" s="373"/>
      <c r="M62" s="374"/>
      <c r="N62" s="371"/>
      <c r="O62" s="373"/>
      <c r="P62" s="373"/>
      <c r="Q62" s="373"/>
      <c r="R62" s="373"/>
      <c r="S62" s="373"/>
      <c r="T62" s="373"/>
      <c r="U62" s="373"/>
      <c r="V62" s="373"/>
      <c r="W62" s="375"/>
    </row>
    <row r="63" spans="1:23" hidden="1" x14ac:dyDescent="0.2">
      <c r="A63" s="5"/>
      <c r="B63" s="180"/>
      <c r="C63" s="23" t="s">
        <v>61</v>
      </c>
      <c r="D63" s="24" t="str">
        <f>ProgrMesures_Budget!C67</f>
        <v>Promotion of agricultural and agro-industrial sectors</v>
      </c>
      <c r="E63" s="29"/>
      <c r="F63" s="61"/>
      <c r="G63" s="61"/>
      <c r="H63" s="62"/>
      <c r="I63" s="60"/>
      <c r="J63" s="61"/>
      <c r="K63" s="373"/>
      <c r="L63" s="27"/>
      <c r="M63" s="184"/>
      <c r="N63" s="183"/>
      <c r="O63" s="182"/>
      <c r="P63" s="182"/>
      <c r="Q63" s="182"/>
      <c r="R63" s="182"/>
      <c r="S63" s="182"/>
      <c r="T63" s="182"/>
      <c r="U63" s="182"/>
      <c r="V63" s="182"/>
      <c r="W63" s="184"/>
    </row>
    <row r="64" spans="1:23" hidden="1" x14ac:dyDescent="0.2">
      <c r="A64" s="5"/>
      <c r="B64" s="180"/>
      <c r="C64" s="23" t="s">
        <v>62</v>
      </c>
      <c r="D64" s="24" t="str">
        <f>ProgrMesures_Budget!C68</f>
        <v>Projet d’appui aux filières arboricoles</v>
      </c>
      <c r="E64" s="183"/>
      <c r="F64" s="61"/>
      <c r="G64" s="61"/>
      <c r="H64" s="62"/>
      <c r="I64" s="60"/>
      <c r="J64" s="61"/>
      <c r="K64" s="182"/>
      <c r="L64" s="182"/>
      <c r="M64" s="184"/>
      <c r="N64" s="183"/>
      <c r="O64" s="182"/>
      <c r="P64" s="182"/>
      <c r="Q64" s="182"/>
      <c r="R64" s="182"/>
      <c r="S64" s="182"/>
      <c r="T64" s="182"/>
      <c r="U64" s="182"/>
      <c r="V64" s="182"/>
      <c r="W64" s="184"/>
    </row>
    <row r="65" spans="1:23" hidden="1" x14ac:dyDescent="0.2">
      <c r="A65" s="5"/>
      <c r="B65" s="180"/>
      <c r="C65" s="23" t="s">
        <v>63</v>
      </c>
      <c r="D65" s="24" t="str">
        <f>ProgrMesures_Budget!C69</f>
        <v>Market access and development of animal product chains.</v>
      </c>
      <c r="E65" s="183"/>
      <c r="F65" s="27"/>
      <c r="G65" s="61"/>
      <c r="H65" s="62"/>
      <c r="I65" s="60"/>
      <c r="J65" s="61"/>
      <c r="K65" s="61"/>
      <c r="L65" s="182"/>
      <c r="M65" s="184"/>
      <c r="N65" s="183"/>
      <c r="O65" s="182"/>
      <c r="P65" s="182"/>
      <c r="Q65" s="182"/>
      <c r="R65" s="182"/>
      <c r="S65" s="182"/>
      <c r="T65" s="182"/>
      <c r="U65" s="182"/>
      <c r="V65" s="182"/>
      <c r="W65" s="184"/>
    </row>
    <row r="66" spans="1:23" hidden="1" x14ac:dyDescent="0.2">
      <c r="A66" s="5"/>
      <c r="B66" s="428" t="str">
        <f>CONCATENATE(ProgrMesures_Budget!B70," - ",ProgrMesures_Budget!C70)</f>
        <v>Provision 2.4 - Development of financial services</v>
      </c>
      <c r="C66" s="429"/>
      <c r="D66" s="430"/>
      <c r="E66" s="55"/>
      <c r="F66" s="56"/>
      <c r="G66" s="56"/>
      <c r="H66" s="57"/>
      <c r="I66" s="58"/>
      <c r="J66" s="56"/>
      <c r="K66" s="56"/>
      <c r="L66" s="56"/>
      <c r="M66" s="59"/>
      <c r="N66" s="55"/>
      <c r="O66" s="56"/>
      <c r="P66" s="56"/>
      <c r="Q66" s="56"/>
      <c r="R66" s="56"/>
      <c r="S66" s="56"/>
      <c r="T66" s="56"/>
      <c r="U66" s="56"/>
      <c r="V66" s="56"/>
      <c r="W66" s="57"/>
    </row>
    <row r="67" spans="1:23" hidden="1" x14ac:dyDescent="0.2">
      <c r="A67" s="5"/>
      <c r="B67" s="180"/>
      <c r="C67" s="181" t="s">
        <v>64</v>
      </c>
      <c r="D67" s="24" t="str">
        <f>ProgrMesures_Budget!C71</f>
        <v>Mobilising productive private investment along value chains (GIRAV)</v>
      </c>
      <c r="E67" s="29"/>
      <c r="F67" s="61"/>
      <c r="G67" s="61"/>
      <c r="H67" s="62"/>
      <c r="I67" s="60"/>
      <c r="J67" s="61"/>
      <c r="K67" s="182"/>
      <c r="L67" s="182"/>
      <c r="M67" s="184"/>
      <c r="N67" s="183"/>
      <c r="O67" s="182"/>
      <c r="P67" s="182"/>
      <c r="Q67" s="182"/>
      <c r="R67" s="182"/>
      <c r="S67" s="182"/>
      <c r="T67" s="182"/>
      <c r="U67" s="182"/>
      <c r="V67" s="182"/>
      <c r="W67" s="184"/>
    </row>
    <row r="68" spans="1:23" hidden="1" x14ac:dyDescent="0.2">
      <c r="A68" s="5"/>
      <c r="B68" s="180"/>
      <c r="C68" s="181" t="s">
        <v>65</v>
      </c>
      <c r="D68" s="24" t="str">
        <f>ProgrMesures_Budget!C72</f>
        <v>Strengthening the financing system for forestry economic activities</v>
      </c>
      <c r="E68" s="29"/>
      <c r="F68" s="27"/>
      <c r="G68" s="61"/>
      <c r="H68" s="62"/>
      <c r="I68" s="60"/>
      <c r="J68" s="61"/>
      <c r="K68" s="61"/>
      <c r="L68" s="182"/>
      <c r="M68" s="184"/>
      <c r="N68" s="183"/>
      <c r="O68" s="182"/>
      <c r="P68" s="182"/>
      <c r="Q68" s="182"/>
      <c r="R68" s="182"/>
      <c r="S68" s="182"/>
      <c r="T68" s="182"/>
      <c r="U68" s="182"/>
      <c r="V68" s="182"/>
      <c r="W68" s="184"/>
    </row>
    <row r="69" spans="1:23" hidden="1" x14ac:dyDescent="0.2">
      <c r="A69" s="5"/>
      <c r="B69" s="180"/>
      <c r="C69" s="181" t="s">
        <v>66</v>
      </c>
      <c r="D69" s="24" t="str">
        <f>ProgrMesures_Budget!C73</f>
        <v>Setting up an agricultural insurance system</v>
      </c>
      <c r="E69" s="29"/>
      <c r="F69" s="27"/>
      <c r="G69" s="27"/>
      <c r="H69" s="30"/>
      <c r="I69" s="60"/>
      <c r="J69" s="61"/>
      <c r="K69" s="61"/>
      <c r="L69" s="27"/>
      <c r="M69" s="184"/>
      <c r="N69" s="183"/>
      <c r="O69" s="182"/>
      <c r="P69" s="182"/>
      <c r="Q69" s="182"/>
      <c r="R69" s="182"/>
      <c r="S69" s="182"/>
      <c r="T69" s="182"/>
      <c r="U69" s="182"/>
      <c r="V69" s="182"/>
      <c r="W69" s="184"/>
    </row>
    <row r="70" spans="1:23" ht="13.5" hidden="1" thickBot="1" x14ac:dyDescent="0.25">
      <c r="A70" s="5"/>
      <c r="B70" s="180"/>
      <c r="C70" s="181" t="s">
        <v>66</v>
      </c>
      <c r="D70" s="24" t="str">
        <f>ProgrMesures_Budget!C74</f>
        <v>Strengthening the financing system for inland fisheries and aquaculture</v>
      </c>
      <c r="E70" s="183"/>
      <c r="F70" s="61"/>
      <c r="G70" s="61"/>
      <c r="H70" s="62"/>
      <c r="I70" s="60"/>
      <c r="J70" s="61"/>
      <c r="K70" s="182"/>
      <c r="L70" s="182"/>
      <c r="M70" s="184"/>
      <c r="N70" s="183"/>
      <c r="O70" s="182"/>
      <c r="P70" s="182"/>
      <c r="Q70" s="182"/>
      <c r="R70" s="182"/>
      <c r="S70" s="182"/>
      <c r="T70" s="182"/>
      <c r="U70" s="182"/>
      <c r="V70" s="182"/>
      <c r="W70" s="184"/>
    </row>
    <row r="71" spans="1:23" ht="26.25" hidden="1" customHeight="1" x14ac:dyDescent="0.2">
      <c r="A71" s="5"/>
      <c r="B71" s="434" t="str">
        <f>CONCATENATE(ProgrMesures_Budget!B78," - ",ProgrMesures_Budget!C78)</f>
        <v>Strategic axis 3 - Protection and enhancement of the environment and contribution to climate change mitigation and adaptation</v>
      </c>
      <c r="C71" s="435"/>
      <c r="D71" s="436"/>
      <c r="E71" s="64"/>
      <c r="F71" s="65"/>
      <c r="G71" s="65"/>
      <c r="H71" s="66"/>
      <c r="I71" s="67"/>
      <c r="J71" s="65"/>
      <c r="K71" s="65"/>
      <c r="L71" s="65"/>
      <c r="M71" s="68"/>
      <c r="N71" s="64"/>
      <c r="O71" s="65"/>
      <c r="P71" s="65"/>
      <c r="Q71" s="65"/>
      <c r="R71" s="65"/>
      <c r="S71" s="65"/>
      <c r="T71" s="65"/>
      <c r="U71" s="65"/>
      <c r="V71" s="65"/>
      <c r="W71" s="66"/>
    </row>
    <row r="72" spans="1:23" hidden="1" x14ac:dyDescent="0.2">
      <c r="A72" s="5"/>
      <c r="B72" s="437" t="str">
        <f>CONCATENATE(ProgrMesures_Budget!B80," - ",ProgrMesures_Budget!C80)</f>
        <v>Provision 3.1 - Preserve the quality of natural resources and optimise their management</v>
      </c>
      <c r="C72" s="438"/>
      <c r="D72" s="439"/>
      <c r="E72" s="69"/>
      <c r="F72" s="70"/>
      <c r="G72" s="70"/>
      <c r="H72" s="71"/>
      <c r="I72" s="72"/>
      <c r="J72" s="70"/>
      <c r="K72" s="70"/>
      <c r="L72" s="70"/>
      <c r="M72" s="73"/>
      <c r="N72" s="69"/>
      <c r="O72" s="70"/>
      <c r="P72" s="70"/>
      <c r="Q72" s="70"/>
      <c r="R72" s="70"/>
      <c r="S72" s="70"/>
      <c r="T72" s="70"/>
      <c r="U72" s="70"/>
      <c r="V72" s="70"/>
      <c r="W72" s="71"/>
    </row>
    <row r="73" spans="1:23" hidden="1" x14ac:dyDescent="0.2">
      <c r="A73" s="5"/>
      <c r="B73" s="22"/>
      <c r="C73" s="23" t="s">
        <v>68</v>
      </c>
      <c r="D73" s="24" t="str">
        <f>ProgrMesures_Budget!C81:C81</f>
        <v>Sustainable Land Management Programme</v>
      </c>
      <c r="E73" s="29"/>
      <c r="F73" s="27"/>
      <c r="G73" s="74"/>
      <c r="H73" s="75"/>
      <c r="I73" s="76"/>
      <c r="J73" s="74"/>
      <c r="K73" s="74"/>
      <c r="L73" s="27"/>
      <c r="M73" s="30"/>
      <c r="N73" s="29"/>
      <c r="O73" s="27"/>
      <c r="P73" s="27"/>
      <c r="Q73" s="27"/>
      <c r="R73" s="27"/>
      <c r="S73" s="27"/>
      <c r="T73" s="27"/>
      <c r="U73" s="27"/>
      <c r="V73" s="27"/>
      <c r="W73" s="30"/>
    </row>
    <row r="74" spans="1:23" ht="24" hidden="1" x14ac:dyDescent="0.2">
      <c r="A74" s="5"/>
      <c r="B74" s="22"/>
      <c r="C74" s="23" t="s">
        <v>69</v>
      </c>
      <c r="D74" s="24" t="str">
        <f>ProgrMesures_Budget!C82:C82</f>
        <v xml:space="preserve">Support for local government development and natural resource management (SODAGRI's strategic plan) </v>
      </c>
      <c r="E74" s="29"/>
      <c r="F74" s="27"/>
      <c r="G74" s="74"/>
      <c r="H74" s="75"/>
      <c r="I74" s="76"/>
      <c r="J74" s="74"/>
      <c r="K74" s="74"/>
      <c r="L74" s="27"/>
      <c r="M74" s="30"/>
      <c r="N74" s="29"/>
      <c r="O74" s="27"/>
      <c r="P74" s="27"/>
      <c r="Q74" s="27"/>
      <c r="R74" s="27"/>
      <c r="S74" s="27"/>
      <c r="T74" s="27"/>
      <c r="U74" s="27"/>
      <c r="V74" s="27"/>
      <c r="W74" s="30"/>
    </row>
    <row r="75" spans="1:23" hidden="1" x14ac:dyDescent="0.2">
      <c r="A75" s="5"/>
      <c r="B75" s="22"/>
      <c r="C75" s="23" t="s">
        <v>70</v>
      </c>
      <c r="D75" s="24" t="str">
        <f>ProgrMesures_Budget!C83:C83</f>
        <v>Protected areas biodiversity monitoring, control and surveillance programme</v>
      </c>
      <c r="E75" s="40"/>
      <c r="F75" s="74"/>
      <c r="G75" s="74"/>
      <c r="H75" s="77"/>
      <c r="I75" s="76"/>
      <c r="J75" s="74"/>
      <c r="K75" s="74"/>
      <c r="L75" s="74"/>
      <c r="M75" s="75"/>
      <c r="N75" s="76"/>
      <c r="O75" s="74"/>
      <c r="P75" s="74"/>
      <c r="Q75" s="74"/>
      <c r="R75" s="74"/>
      <c r="S75" s="74"/>
      <c r="T75" s="74"/>
      <c r="U75" s="74"/>
      <c r="V75" s="74"/>
      <c r="W75" s="75"/>
    </row>
    <row r="76" spans="1:23" hidden="1" x14ac:dyDescent="0.2">
      <c r="A76" s="5"/>
      <c r="B76" s="437" t="str">
        <f>CONCATENATE(ProgrMesures_Budget!B84," - ",ProgrMesures_Budget!C84)</f>
        <v>Provision 3.2 - Designing and promoting integrated resource management systems</v>
      </c>
      <c r="C76" s="438"/>
      <c r="D76" s="439"/>
      <c r="E76" s="69"/>
      <c r="F76" s="70"/>
      <c r="G76" s="70"/>
      <c r="H76" s="71"/>
      <c r="I76" s="72"/>
      <c r="J76" s="70"/>
      <c r="K76" s="70"/>
      <c r="L76" s="70"/>
      <c r="M76" s="73"/>
      <c r="N76" s="69"/>
      <c r="O76" s="70"/>
      <c r="P76" s="70"/>
      <c r="Q76" s="70"/>
      <c r="R76" s="70"/>
      <c r="S76" s="70"/>
      <c r="T76" s="70"/>
      <c r="U76" s="70"/>
      <c r="V76" s="70"/>
      <c r="W76" s="71"/>
    </row>
    <row r="77" spans="1:23" ht="24" hidden="1" x14ac:dyDescent="0.2">
      <c r="A77" s="5"/>
      <c r="B77" s="22"/>
      <c r="C77" s="23" t="s">
        <v>71</v>
      </c>
      <c r="D77" s="24" t="str">
        <f>ProgrMesures_Budget!C85:C85</f>
        <v>Monitoring, control and surveillance programme for forestry resource development activities in and around the Gambia, Kayanga/Géba and Koliba/Corubal river basins</v>
      </c>
      <c r="E77" s="29"/>
      <c r="F77" s="27"/>
      <c r="G77" s="27"/>
      <c r="H77" s="30"/>
      <c r="I77" s="78"/>
      <c r="J77" s="74"/>
      <c r="K77" s="74"/>
      <c r="L77" s="74"/>
      <c r="M77" s="77"/>
      <c r="N77" s="29"/>
      <c r="O77" s="27"/>
      <c r="P77" s="27"/>
      <c r="Q77" s="27"/>
      <c r="R77" s="27"/>
      <c r="S77" s="27"/>
      <c r="T77" s="27"/>
      <c r="U77" s="27"/>
      <c r="V77" s="27"/>
      <c r="W77" s="30"/>
    </row>
    <row r="78" spans="1:23" ht="25.15" hidden="1" customHeight="1" thickBot="1" x14ac:dyDescent="0.25">
      <c r="A78" s="5"/>
      <c r="B78" s="22"/>
      <c r="C78" s="23" t="s">
        <v>72</v>
      </c>
      <c r="D78" s="24" t="str">
        <f>ProgrMesures_Budget!C86:C86</f>
        <v>Fisheries Monitoring, Control and Surveillance Programme in the Gambia, Kayanga/Géba and Koliba/Corubal river basins</v>
      </c>
      <c r="E78" s="29"/>
      <c r="F78" s="27"/>
      <c r="G78" s="74"/>
      <c r="H78" s="75"/>
      <c r="I78" s="78"/>
      <c r="J78" s="74"/>
      <c r="K78" s="74"/>
      <c r="L78" s="27"/>
      <c r="M78" s="30"/>
      <c r="N78" s="29"/>
      <c r="O78" s="27"/>
      <c r="P78" s="27"/>
      <c r="Q78" s="27"/>
      <c r="R78" s="27"/>
      <c r="S78" s="27"/>
      <c r="T78" s="27"/>
      <c r="U78" s="27"/>
      <c r="V78" s="27"/>
      <c r="W78" s="30"/>
    </row>
    <row r="79" spans="1:23" x14ac:dyDescent="0.2">
      <c r="A79" s="5"/>
      <c r="B79" s="446" t="str">
        <f>CONCATENATE(ProgrMesures_Budget!B90," - ",ProgrMesures_Budget!C90)</f>
        <v>Strategic axis 4 - Strengthening the legal and legislative framework</v>
      </c>
      <c r="C79" s="447"/>
      <c r="D79" s="448"/>
      <c r="E79" s="273"/>
      <c r="F79" s="274"/>
      <c r="G79" s="274"/>
      <c r="H79" s="275"/>
      <c r="I79" s="276"/>
      <c r="J79" s="274"/>
      <c r="K79" s="274"/>
      <c r="L79" s="274"/>
      <c r="M79" s="277"/>
      <c r="N79" s="273"/>
      <c r="O79" s="274"/>
      <c r="P79" s="274"/>
      <c r="Q79" s="274"/>
      <c r="R79" s="274"/>
      <c r="S79" s="274"/>
      <c r="T79" s="274"/>
      <c r="U79" s="274"/>
      <c r="V79" s="274"/>
      <c r="W79" s="275"/>
    </row>
    <row r="80" spans="1:23" x14ac:dyDescent="0.2">
      <c r="A80" s="5"/>
      <c r="B80" s="449" t="str">
        <f>CONCATENATE(ProgrMesures_Budget!B92," - ",ProgrMesures_Budget!C92)</f>
        <v>Provision 4.1 - Strengthening the legal framework for agroforestry</v>
      </c>
      <c r="C80" s="450"/>
      <c r="D80" s="451"/>
      <c r="E80" s="278"/>
      <c r="F80" s="279"/>
      <c r="G80" s="279"/>
      <c r="H80" s="280"/>
      <c r="I80" s="281"/>
      <c r="J80" s="279"/>
      <c r="K80" s="279"/>
      <c r="L80" s="279"/>
      <c r="M80" s="282"/>
      <c r="N80" s="278"/>
      <c r="O80" s="279"/>
      <c r="P80" s="279"/>
      <c r="Q80" s="279"/>
      <c r="R80" s="279"/>
      <c r="S80" s="279"/>
      <c r="T80" s="279"/>
      <c r="U80" s="279"/>
      <c r="V80" s="279"/>
      <c r="W80" s="280"/>
    </row>
    <row r="81" spans="1:23" x14ac:dyDescent="0.2">
      <c r="A81" s="5"/>
      <c r="B81" s="187"/>
      <c r="C81" s="181" t="s">
        <v>73</v>
      </c>
      <c r="D81" s="24" t="str">
        <f>ProgrMesures_Budget!C93</f>
        <v>Development and/or revision of the regulatory and legal framework for water users' cooperatives and associations.</v>
      </c>
      <c r="E81" s="29"/>
      <c r="F81" s="26"/>
      <c r="G81" s="26"/>
      <c r="H81" s="35"/>
      <c r="I81" s="25"/>
      <c r="J81" s="26"/>
      <c r="K81" s="27"/>
      <c r="L81" s="27"/>
      <c r="M81" s="30"/>
      <c r="N81" s="183"/>
      <c r="O81" s="182"/>
      <c r="P81" s="182"/>
      <c r="Q81" s="182"/>
      <c r="R81" s="182"/>
      <c r="S81" s="182"/>
      <c r="T81" s="182"/>
      <c r="U81" s="182"/>
      <c r="V81" s="182"/>
      <c r="W81" s="184"/>
    </row>
    <row r="82" spans="1:23" x14ac:dyDescent="0.2">
      <c r="A82" s="5"/>
      <c r="B82" s="187"/>
      <c r="C82" s="181" t="s">
        <v>74</v>
      </c>
      <c r="D82" s="24" t="str">
        <f>ProgrMesures_Budget!C94</f>
        <v>Development and/or revision of the legislative framework for agricultural water pricing policy.</v>
      </c>
      <c r="E82" s="29"/>
      <c r="F82" s="26"/>
      <c r="G82" s="26"/>
      <c r="H82" s="35"/>
      <c r="I82" s="25"/>
      <c r="J82" s="26"/>
      <c r="K82" s="27"/>
      <c r="L82" s="27"/>
      <c r="M82" s="32"/>
      <c r="N82" s="183"/>
      <c r="O82" s="182"/>
      <c r="P82" s="182"/>
      <c r="Q82" s="182"/>
      <c r="R82" s="182"/>
      <c r="S82" s="182"/>
      <c r="T82" s="182"/>
      <c r="U82" s="182"/>
      <c r="V82" s="182"/>
      <c r="W82" s="184"/>
    </row>
    <row r="83" spans="1:23" ht="24" x14ac:dyDescent="0.2">
      <c r="A83" s="5"/>
      <c r="B83" s="187"/>
      <c r="C83" s="181" t="s">
        <v>75</v>
      </c>
      <c r="D83" s="24" t="str">
        <f>ProgrMesures_Budget!C95</f>
        <v>Development and/or revision of the legal framework for public-private partnerships (PPPs) in agriculture.</v>
      </c>
      <c r="E83" s="29"/>
      <c r="F83" s="27"/>
      <c r="G83" s="27"/>
      <c r="H83" s="30"/>
      <c r="I83" s="174"/>
      <c r="J83" s="26"/>
      <c r="K83" s="182"/>
      <c r="L83" s="182"/>
      <c r="M83" s="189"/>
      <c r="N83" s="183"/>
      <c r="O83" s="182"/>
      <c r="P83" s="182"/>
      <c r="Q83" s="182"/>
      <c r="R83" s="182"/>
      <c r="S83" s="182"/>
      <c r="T83" s="182"/>
      <c r="U83" s="182"/>
      <c r="V83" s="182"/>
      <c r="W83" s="184"/>
    </row>
    <row r="84" spans="1:23" ht="24" x14ac:dyDescent="0.2">
      <c r="A84" s="5"/>
      <c r="B84" s="187"/>
      <c r="C84" s="181" t="s">
        <v>76</v>
      </c>
      <c r="D84" s="24" t="str">
        <f>ProgrMesures_Budget!C96</f>
        <v>Elaboration and/or revision of the regulatory and legal framework for the exploitation of forest resources in and around the Gambia, Kayanga/Geba and Koliba/Corubal river basins.</v>
      </c>
      <c r="E84" s="183"/>
      <c r="F84" s="182"/>
      <c r="G84" s="26"/>
      <c r="H84" s="35"/>
      <c r="I84" s="174"/>
      <c r="J84" s="26"/>
      <c r="K84" s="26"/>
      <c r="L84" s="182"/>
      <c r="M84" s="189"/>
      <c r="N84" s="183"/>
      <c r="O84" s="182"/>
      <c r="P84" s="182"/>
      <c r="Q84" s="182"/>
      <c r="R84" s="182"/>
      <c r="S84" s="182"/>
      <c r="T84" s="182"/>
      <c r="U84" s="182"/>
      <c r="V84" s="182"/>
      <c r="W84" s="184"/>
    </row>
    <row r="85" spans="1:23" ht="36" x14ac:dyDescent="0.2">
      <c r="A85" s="5"/>
      <c r="B85" s="180"/>
      <c r="C85" s="181" t="s">
        <v>77</v>
      </c>
      <c r="D85" s="24" t="str">
        <f>ProgrMesures_Budget!C97</f>
        <v>Training and capacity building of members of forestry groups for the proper application of the texts regulating and providing a legal framework for the sustainable exploitation of forestry resources in and around the Gambia, Kayanga/Geba and Koliba/Corubal river basins</v>
      </c>
      <c r="E85" s="183"/>
      <c r="F85" s="182"/>
      <c r="G85" s="182"/>
      <c r="H85" s="184"/>
      <c r="I85" s="183"/>
      <c r="J85" s="26"/>
      <c r="K85" s="26"/>
      <c r="L85" s="26"/>
      <c r="M85" s="35"/>
      <c r="N85" s="25"/>
      <c r="O85" s="182"/>
      <c r="P85" s="182"/>
      <c r="Q85" s="182"/>
      <c r="R85" s="182"/>
      <c r="S85" s="182"/>
      <c r="T85" s="182"/>
      <c r="U85" s="182"/>
      <c r="V85" s="182"/>
      <c r="W85" s="184"/>
    </row>
    <row r="86" spans="1:23" x14ac:dyDescent="0.2">
      <c r="A86" s="5"/>
      <c r="B86" s="180"/>
      <c r="C86" s="181" t="s">
        <v>78</v>
      </c>
      <c r="D86" s="24" t="str">
        <f>ProgrMesures_Budget!C98</f>
        <v>Project on land tenure security in the Gambia, Kayanga/Geba and Koliba/Corubal river basins.</v>
      </c>
      <c r="E86" s="188"/>
      <c r="F86" s="185"/>
      <c r="G86" s="31"/>
      <c r="H86" s="42"/>
      <c r="I86" s="321"/>
      <c r="J86" s="31"/>
      <c r="K86" s="31"/>
      <c r="L86" s="185"/>
      <c r="M86" s="233"/>
      <c r="N86" s="188"/>
      <c r="O86" s="185"/>
      <c r="P86" s="185"/>
      <c r="Q86" s="185"/>
      <c r="R86" s="185"/>
      <c r="S86" s="185"/>
      <c r="T86" s="185"/>
      <c r="U86" s="185"/>
      <c r="V86" s="185"/>
      <c r="W86" s="186"/>
    </row>
    <row r="87" spans="1:23" x14ac:dyDescent="0.2">
      <c r="A87" s="5"/>
      <c r="B87" s="449" t="str">
        <f>CONCATENATE(ProgrMesures_Budget!B99," - ",ProgrMesures_Budget!C99)</f>
        <v>Provision 4.2 - Strengthening the legal framework for fisheries and aquaculture production</v>
      </c>
      <c r="C87" s="450"/>
      <c r="D87" s="451"/>
      <c r="E87" s="278"/>
      <c r="F87" s="279"/>
      <c r="G87" s="279"/>
      <c r="H87" s="280"/>
      <c r="I87" s="281"/>
      <c r="J87" s="279"/>
      <c r="K87" s="279"/>
      <c r="L87" s="279"/>
      <c r="M87" s="282"/>
      <c r="N87" s="278"/>
      <c r="O87" s="279"/>
      <c r="P87" s="279"/>
      <c r="Q87" s="279"/>
      <c r="R87" s="279"/>
      <c r="S87" s="279"/>
      <c r="T87" s="279"/>
      <c r="U87" s="279"/>
      <c r="V87" s="279"/>
      <c r="W87" s="280"/>
    </row>
    <row r="88" spans="1:23" ht="24" x14ac:dyDescent="0.2">
      <c r="A88" s="5"/>
      <c r="B88" s="180"/>
      <c r="C88" s="181" t="s">
        <v>183</v>
      </c>
      <c r="D88" s="24" t="str">
        <f>ProgrMesures_Budget!C100</f>
        <v>Elaboration and/or revision of the regulatory and legal framework for the exploitation of inland fisheries resources and aquaculture in the Gambia, Kayanga/Geba and Koliba/Corubal river basins</v>
      </c>
      <c r="E88" s="29"/>
      <c r="F88" s="283"/>
      <c r="G88" s="283"/>
      <c r="H88" s="284"/>
      <c r="I88" s="285"/>
      <c r="J88" s="283"/>
      <c r="K88" s="27"/>
      <c r="L88" s="182"/>
      <c r="M88" s="184"/>
      <c r="N88" s="183"/>
      <c r="O88" s="182"/>
      <c r="P88" s="182"/>
      <c r="Q88" s="182"/>
      <c r="R88" s="182"/>
      <c r="S88" s="182"/>
      <c r="T88" s="182"/>
      <c r="U88" s="182"/>
      <c r="V88" s="182"/>
      <c r="W88" s="184"/>
    </row>
    <row r="89" spans="1:23" ht="36.75" thickBot="1" x14ac:dyDescent="0.25">
      <c r="A89" s="5"/>
      <c r="B89" s="180"/>
      <c r="C89" s="181" t="s">
        <v>184</v>
      </c>
      <c r="D89" s="24" t="str">
        <f>ProgrMesures_Budget!C101</f>
        <v>Training and capacity building of fisheries managers for a proper application of the texts regulating and legally framing the sustainable exploitation of fisheries resources and aquaculture in the basins of the Gambia, Kayanga/Geba and Koliba/Corubal rivers.</v>
      </c>
      <c r="E89" s="183"/>
      <c r="F89" s="283"/>
      <c r="G89" s="283"/>
      <c r="H89" s="284"/>
      <c r="I89" s="285"/>
      <c r="J89" s="283"/>
      <c r="K89" s="182"/>
      <c r="L89" s="182"/>
      <c r="M89" s="184"/>
      <c r="N89" s="183"/>
      <c r="O89" s="182"/>
      <c r="P89" s="182"/>
      <c r="Q89" s="182"/>
      <c r="R89" s="182"/>
      <c r="S89" s="182"/>
      <c r="T89" s="182"/>
      <c r="U89" s="182"/>
      <c r="V89" s="182"/>
      <c r="W89" s="184"/>
    </row>
    <row r="90" spans="1:23" x14ac:dyDescent="0.2">
      <c r="A90" s="5"/>
      <c r="B90" s="440" t="s">
        <v>14</v>
      </c>
      <c r="C90" s="441"/>
      <c r="D90" s="442"/>
      <c r="E90" s="293"/>
      <c r="F90" s="294"/>
      <c r="G90" s="294"/>
      <c r="H90" s="295"/>
      <c r="I90" s="296"/>
      <c r="J90" s="294"/>
      <c r="K90" s="294"/>
      <c r="L90" s="294"/>
      <c r="M90" s="297"/>
      <c r="N90" s="293"/>
      <c r="O90" s="294"/>
      <c r="P90" s="294"/>
      <c r="Q90" s="294"/>
      <c r="R90" s="294"/>
      <c r="S90" s="294"/>
      <c r="T90" s="294"/>
      <c r="U90" s="294"/>
      <c r="V90" s="294"/>
      <c r="W90" s="295"/>
    </row>
    <row r="91" spans="1:23" x14ac:dyDescent="0.2">
      <c r="A91" s="5"/>
      <c r="B91" s="443" t="str">
        <f>CONCATENATE(ProgrMesures_Budget!B107," - ",ProgrMesures_Budget!C107)</f>
        <v>Provision 5.1 - Research and training</v>
      </c>
      <c r="C91" s="444"/>
      <c r="D91" s="445"/>
      <c r="E91" s="298"/>
      <c r="F91" s="299"/>
      <c r="G91" s="299"/>
      <c r="H91" s="300"/>
      <c r="I91" s="301"/>
      <c r="J91" s="299"/>
      <c r="K91" s="299"/>
      <c r="L91" s="299"/>
      <c r="M91" s="302"/>
      <c r="N91" s="298"/>
      <c r="O91" s="299"/>
      <c r="P91" s="299"/>
      <c r="Q91" s="299"/>
      <c r="R91" s="299"/>
      <c r="S91" s="299"/>
      <c r="T91" s="299"/>
      <c r="U91" s="299"/>
      <c r="V91" s="299"/>
      <c r="W91" s="300"/>
    </row>
    <row r="92" spans="1:23" x14ac:dyDescent="0.2">
      <c r="A92" s="5"/>
      <c r="B92" s="187"/>
      <c r="C92" s="181" t="s">
        <v>81</v>
      </c>
      <c r="D92" s="24" t="str">
        <f>ProgrMesures_Budget!C108</f>
        <v>Capacity building programme in the agricultural sector to help the sector structure itself</v>
      </c>
      <c r="E92" s="29"/>
      <c r="F92" s="315"/>
      <c r="G92" s="315"/>
      <c r="H92" s="317"/>
      <c r="I92" s="316"/>
      <c r="J92" s="315"/>
      <c r="K92" s="315"/>
      <c r="L92" s="315"/>
      <c r="M92" s="317"/>
      <c r="N92" s="316"/>
      <c r="O92" s="315"/>
      <c r="P92" s="315"/>
      <c r="Q92" s="315"/>
      <c r="R92" s="315"/>
      <c r="S92" s="315"/>
      <c r="T92" s="315"/>
      <c r="U92" s="315"/>
      <c r="V92" s="315"/>
      <c r="W92" s="317"/>
    </row>
    <row r="93" spans="1:23" x14ac:dyDescent="0.2">
      <c r="A93" s="5"/>
      <c r="B93" s="187"/>
      <c r="C93" s="181" t="s">
        <v>82</v>
      </c>
      <c r="D93" s="24" t="str">
        <f>ProgrMesures_Budget!C109</f>
        <v>Technical cooperation programme with FAO, CILSS, ECOWAS, etc.</v>
      </c>
      <c r="E93" s="183"/>
      <c r="F93" s="182"/>
      <c r="G93" s="315"/>
      <c r="H93" s="317"/>
      <c r="I93" s="316"/>
      <c r="J93" s="315"/>
      <c r="K93" s="315"/>
      <c r="L93" s="315"/>
      <c r="M93" s="317"/>
      <c r="N93" s="316"/>
      <c r="O93" s="315"/>
      <c r="P93" s="315"/>
      <c r="Q93" s="182"/>
      <c r="R93" s="182"/>
      <c r="S93" s="182"/>
      <c r="T93" s="182"/>
      <c r="U93" s="182"/>
      <c r="V93" s="182"/>
      <c r="W93" s="184"/>
    </row>
    <row r="94" spans="1:23" x14ac:dyDescent="0.2">
      <c r="A94" s="5"/>
      <c r="B94" s="187"/>
      <c r="C94" s="181" t="s">
        <v>83</v>
      </c>
      <c r="D94" s="24" t="str">
        <f>ProgrMesures_Budget!C110</f>
        <v>Research programme on NTFP collection, packaging and processing techniques</v>
      </c>
      <c r="E94" s="232"/>
      <c r="F94" s="315"/>
      <c r="G94" s="315"/>
      <c r="H94" s="318"/>
      <c r="I94" s="316"/>
      <c r="J94" s="315"/>
      <c r="K94" s="182"/>
      <c r="L94" s="182"/>
      <c r="M94" s="184"/>
      <c r="N94" s="183"/>
      <c r="O94" s="182"/>
      <c r="P94" s="182"/>
      <c r="Q94" s="182"/>
      <c r="R94" s="182"/>
      <c r="S94" s="182"/>
      <c r="T94" s="182"/>
      <c r="U94" s="182"/>
      <c r="V94" s="182"/>
      <c r="W94" s="184"/>
    </row>
    <row r="95" spans="1:23" x14ac:dyDescent="0.2">
      <c r="A95" s="5"/>
      <c r="B95" s="187"/>
      <c r="C95" s="181" t="s">
        <v>84</v>
      </c>
      <c r="D95" s="24" t="str">
        <f>ProgrMesures_Budget!C111</f>
        <v>Inland Fisheries and Aquaculture Research Programme.</v>
      </c>
      <c r="E95" s="232"/>
      <c r="F95" s="182"/>
      <c r="G95" s="182"/>
      <c r="H95" s="189"/>
      <c r="I95" s="316"/>
      <c r="J95" s="315"/>
      <c r="K95" s="315"/>
      <c r="L95" s="315"/>
      <c r="M95" s="317"/>
      <c r="N95" s="183"/>
      <c r="O95" s="182"/>
      <c r="P95" s="182"/>
      <c r="Q95" s="182"/>
      <c r="R95" s="182"/>
      <c r="S95" s="182"/>
      <c r="T95" s="182"/>
      <c r="U95" s="182"/>
      <c r="V95" s="182"/>
      <c r="W95" s="184"/>
    </row>
    <row r="96" spans="1:23" ht="24" x14ac:dyDescent="0.2">
      <c r="A96" s="5"/>
      <c r="B96" s="187"/>
      <c r="C96" s="181" t="s">
        <v>85</v>
      </c>
      <c r="D96" s="24" t="str">
        <f>ProgrMesures_Budget!C112</f>
        <v>Technical cooperation programme with FAO, Worldfish, Sub-Regional Fisheries Commission, ECOWAS, etc.</v>
      </c>
      <c r="E96" s="183"/>
      <c r="F96" s="182"/>
      <c r="G96" s="182"/>
      <c r="H96" s="184"/>
      <c r="I96" s="183"/>
      <c r="J96" s="182"/>
      <c r="K96" s="315"/>
      <c r="L96" s="304"/>
      <c r="M96" s="306"/>
      <c r="N96" s="305"/>
      <c r="O96" s="304"/>
      <c r="P96" s="182"/>
      <c r="Q96" s="182"/>
      <c r="R96" s="182"/>
      <c r="S96" s="182"/>
      <c r="T96" s="182"/>
      <c r="U96" s="182"/>
      <c r="V96" s="182"/>
      <c r="W96" s="184"/>
    </row>
    <row r="97" spans="1:23" x14ac:dyDescent="0.2">
      <c r="A97" s="5"/>
      <c r="B97" s="187"/>
      <c r="C97" s="181" t="s">
        <v>86</v>
      </c>
      <c r="D97" s="24" t="str">
        <f>ProgrMesures_Budget!C113</f>
        <v>Capacity building programme for Administration and Research.</v>
      </c>
      <c r="E97" s="232"/>
      <c r="F97" s="315"/>
      <c r="G97" s="315"/>
      <c r="H97" s="318"/>
      <c r="I97" s="316"/>
      <c r="J97" s="315"/>
      <c r="K97" s="315"/>
      <c r="L97" s="315"/>
      <c r="M97" s="317"/>
      <c r="N97" s="316"/>
      <c r="O97" s="315"/>
      <c r="P97" s="315"/>
      <c r="Q97" s="315"/>
      <c r="R97" s="315"/>
      <c r="S97" s="315"/>
      <c r="T97" s="315"/>
      <c r="U97" s="315"/>
      <c r="V97" s="315"/>
      <c r="W97" s="317"/>
    </row>
    <row r="98" spans="1:23" x14ac:dyDescent="0.2">
      <c r="A98" s="5"/>
      <c r="B98" s="443" t="str">
        <f>CONCATENATE(ProgrMesures_Budget!B114," - ",ProgrMesures_Budget!C114)</f>
        <v>Provision 5.2 - Knowledge management and resource monitoring</v>
      </c>
      <c r="C98" s="444"/>
      <c r="D98" s="445"/>
      <c r="E98" s="298"/>
      <c r="F98" s="299"/>
      <c r="G98" s="299"/>
      <c r="H98" s="300"/>
      <c r="I98" s="301"/>
      <c r="J98" s="299"/>
      <c r="K98" s="299"/>
      <c r="L98" s="299"/>
      <c r="M98" s="302"/>
      <c r="N98" s="298"/>
      <c r="O98" s="299"/>
      <c r="P98" s="299"/>
      <c r="Q98" s="299"/>
      <c r="R98" s="299"/>
      <c r="S98" s="299"/>
      <c r="T98" s="299"/>
      <c r="U98" s="299"/>
      <c r="V98" s="299"/>
      <c r="W98" s="300"/>
    </row>
    <row r="99" spans="1:23" ht="13.5" thickBot="1" x14ac:dyDescent="0.25">
      <c r="A99" s="231"/>
      <c r="B99" s="286"/>
      <c r="C99" s="287" t="s">
        <v>87</v>
      </c>
      <c r="D99" s="79" t="str">
        <f>ProgrMesures_Budget!C115</f>
        <v>Programme to develop agricultural research, training and extension</v>
      </c>
      <c r="E99" s="288"/>
      <c r="F99" s="289"/>
      <c r="G99" s="289"/>
      <c r="H99" s="290"/>
      <c r="I99" s="291"/>
      <c r="J99" s="289"/>
      <c r="K99" s="289"/>
      <c r="L99" s="289"/>
      <c r="M99" s="292"/>
      <c r="N99" s="288"/>
      <c r="O99" s="289"/>
      <c r="P99" s="289"/>
      <c r="Q99" s="289"/>
      <c r="R99" s="289"/>
      <c r="S99" s="289"/>
      <c r="T99" s="289"/>
      <c r="U99" s="289"/>
      <c r="V99" s="289"/>
      <c r="W99" s="290"/>
    </row>
    <row r="100" spans="1:23" x14ac:dyDescent="0.2">
      <c r="C100" s="303"/>
      <c r="D100" s="194"/>
    </row>
  </sheetData>
  <mergeCells count="27">
    <mergeCell ref="B90:D90"/>
    <mergeCell ref="B91:D91"/>
    <mergeCell ref="B98:D98"/>
    <mergeCell ref="B79:D79"/>
    <mergeCell ref="B80:D80"/>
    <mergeCell ref="B87:D87"/>
    <mergeCell ref="B49:D49"/>
    <mergeCell ref="B71:D71"/>
    <mergeCell ref="B72:D72"/>
    <mergeCell ref="B76:D76"/>
    <mergeCell ref="B53:D53"/>
    <mergeCell ref="B66:D66"/>
    <mergeCell ref="B6:D6"/>
    <mergeCell ref="B7:D7"/>
    <mergeCell ref="B13:D13"/>
    <mergeCell ref="B42:D42"/>
    <mergeCell ref="B43:D43"/>
    <mergeCell ref="B20:D20"/>
    <mergeCell ref="B27:D27"/>
    <mergeCell ref="B31:D31"/>
    <mergeCell ref="B38:D38"/>
    <mergeCell ref="B1:R1"/>
    <mergeCell ref="B3:D5"/>
    <mergeCell ref="E3:W3"/>
    <mergeCell ref="E4:H4"/>
    <mergeCell ref="I4:M4"/>
    <mergeCell ref="N4:W4"/>
  </mergeCells>
  <phoneticPr fontId="14" type="noConversion"/>
  <pageMargins left="0.19" right="0.17" top="0.4" bottom="0.28999999999999998" header="0.3" footer="0.17"/>
  <pageSetup paperSize="9" scale="5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117"/>
  <sheetViews>
    <sheetView showGridLines="0" tabSelected="1" topLeftCell="A101" zoomScaleNormal="100" workbookViewId="0">
      <selection activeCell="B104" sqref="B104:I117"/>
    </sheetView>
  </sheetViews>
  <sheetFormatPr baseColWidth="10" defaultColWidth="11" defaultRowHeight="12" x14ac:dyDescent="0.2"/>
  <cols>
    <col min="1" max="1" width="5.5" style="81" customWidth="1"/>
    <col min="2" max="2" width="22.125" style="82" bestFit="1" customWidth="1"/>
    <col min="3" max="3" width="53.375" style="82" customWidth="1"/>
    <col min="4" max="4" width="11" style="82" customWidth="1"/>
    <col min="5" max="5" width="1.125" style="81" customWidth="1"/>
    <col min="6" max="6" width="8.375" style="82" hidden="1" customWidth="1"/>
    <col min="7" max="9" width="10.625" style="82" customWidth="1"/>
    <col min="10" max="10" width="2" style="82" customWidth="1"/>
    <col min="11" max="11" width="12.5" style="82" bestFit="1" customWidth="1"/>
    <col min="12" max="15" width="11" style="82"/>
    <col min="16" max="16" width="14.5" style="82" bestFit="1" customWidth="1"/>
    <col min="17" max="16384" width="11" style="82"/>
  </cols>
  <sheetData>
    <row r="1" spans="1:13" ht="12.75" thickBot="1" x14ac:dyDescent="0.25">
      <c r="K1" s="83"/>
    </row>
    <row r="2" spans="1:13" ht="12.75" thickBot="1" x14ac:dyDescent="0.25">
      <c r="B2" s="90" t="s">
        <v>88</v>
      </c>
      <c r="C2" s="91" t="s">
        <v>115</v>
      </c>
      <c r="D2" s="92" t="s">
        <v>2</v>
      </c>
      <c r="E2" s="93"/>
      <c r="F2" s="94">
        <v>0</v>
      </c>
      <c r="G2" s="90">
        <v>2025</v>
      </c>
      <c r="H2" s="90">
        <v>2030</v>
      </c>
      <c r="I2" s="90">
        <v>2040</v>
      </c>
      <c r="K2" s="89">
        <v>1</v>
      </c>
    </row>
    <row r="3" spans="1:13" ht="12" customHeight="1" x14ac:dyDescent="0.2">
      <c r="B3" s="394" t="s">
        <v>116</v>
      </c>
      <c r="C3" s="395"/>
      <c r="D3" s="95"/>
      <c r="E3" s="93"/>
      <c r="F3" s="96">
        <v>0</v>
      </c>
      <c r="G3" s="97"/>
      <c r="H3" s="97"/>
      <c r="I3" s="97"/>
    </row>
    <row r="4" spans="1:13" ht="12.75" thickBot="1" x14ac:dyDescent="0.25">
      <c r="B4" s="98"/>
      <c r="C4" s="99"/>
      <c r="D4" s="100"/>
      <c r="E4" s="93"/>
      <c r="F4" s="101">
        <v>0</v>
      </c>
      <c r="G4" s="102"/>
      <c r="H4" s="103"/>
      <c r="I4" s="103"/>
    </row>
    <row r="5" spans="1:13" ht="24" customHeight="1" x14ac:dyDescent="0.2">
      <c r="B5" s="104" t="s">
        <v>89</v>
      </c>
      <c r="C5" s="395" t="s">
        <v>120</v>
      </c>
      <c r="D5" s="328">
        <f>G5+H5+I5</f>
        <v>1055911257.5</v>
      </c>
      <c r="E5" s="213"/>
      <c r="F5" s="329">
        <v>0</v>
      </c>
      <c r="G5" s="330">
        <f>G7+G13+G20+G27+G31+G38</f>
        <v>333794964.16666669</v>
      </c>
      <c r="H5" s="330">
        <f>H7+H13+H20+H27+H31+H38</f>
        <v>400495293.33333331</v>
      </c>
      <c r="I5" s="331">
        <f>I7+I13+I20+I27+I31+I38</f>
        <v>321621000</v>
      </c>
    </row>
    <row r="6" spans="1:13" ht="15" customHeight="1" thickBot="1" x14ac:dyDescent="0.25">
      <c r="B6" s="98"/>
      <c r="C6" s="396"/>
      <c r="D6" s="100"/>
      <c r="E6" s="213"/>
      <c r="F6" s="332">
        <v>0</v>
      </c>
      <c r="G6" s="333">
        <f>G42/$D42</f>
        <v>0.31612028169580025</v>
      </c>
      <c r="H6" s="333">
        <f>H42/$D42</f>
        <v>0.37928878065146804</v>
      </c>
      <c r="I6" s="333">
        <f>I42/$D42</f>
        <v>0.30459093765273165</v>
      </c>
    </row>
    <row r="7" spans="1:13" ht="14.1" customHeight="1" x14ac:dyDescent="0.2">
      <c r="A7" s="84"/>
      <c r="B7" s="105" t="s">
        <v>99</v>
      </c>
      <c r="C7" s="170" t="s">
        <v>125</v>
      </c>
      <c r="D7" s="106">
        <f>SUM(D8:D12)</f>
        <v>148220000</v>
      </c>
      <c r="E7" s="147"/>
      <c r="F7" s="148"/>
      <c r="G7" s="146">
        <f>SUM(G8:G12)</f>
        <v>92232000</v>
      </c>
      <c r="H7" s="146">
        <f>SUM(H8:H12)</f>
        <v>55988000</v>
      </c>
      <c r="I7" s="146">
        <f>SUM(I8:I9)</f>
        <v>0</v>
      </c>
      <c r="K7" s="85"/>
    </row>
    <row r="8" spans="1:13" x14ac:dyDescent="0.2">
      <c r="B8" s="108" t="s">
        <v>15</v>
      </c>
      <c r="C8" s="109" t="s">
        <v>126</v>
      </c>
      <c r="D8" s="110">
        <v>12000000</v>
      </c>
      <c r="E8" s="143"/>
      <c r="F8" s="111">
        <v>0</v>
      </c>
      <c r="G8" s="144">
        <f>D8*0.8</f>
        <v>9600000</v>
      </c>
      <c r="H8" s="144">
        <f>D8*0.2</f>
        <v>2400000</v>
      </c>
      <c r="I8" s="149"/>
      <c r="K8" s="85"/>
    </row>
    <row r="9" spans="1:13" x14ac:dyDescent="0.2">
      <c r="B9" s="108" t="s">
        <v>16</v>
      </c>
      <c r="C9" s="109" t="s">
        <v>127</v>
      </c>
      <c r="D9" s="110">
        <f>G9+H9+I9</f>
        <v>1500000</v>
      </c>
      <c r="E9" s="143"/>
      <c r="F9" s="111"/>
      <c r="G9" s="144">
        <f>CEILING(2/5*1/3*11000000,100000)</f>
        <v>1500000</v>
      </c>
      <c r="H9" s="149"/>
      <c r="I9" s="149"/>
      <c r="K9" s="85"/>
    </row>
    <row r="10" spans="1:13" ht="24" x14ac:dyDescent="0.2">
      <c r="B10" s="108" t="s">
        <v>17</v>
      </c>
      <c r="C10" s="366" t="s">
        <v>128</v>
      </c>
      <c r="D10" s="110">
        <f>G10+H10+I10</f>
        <v>4500000</v>
      </c>
      <c r="E10" s="143"/>
      <c r="F10" s="320"/>
      <c r="G10" s="314">
        <v>3000000</v>
      </c>
      <c r="H10" s="314">
        <v>1500000</v>
      </c>
      <c r="I10" s="367"/>
      <c r="K10" s="85"/>
    </row>
    <row r="11" spans="1:13" x14ac:dyDescent="0.2">
      <c r="B11" s="108" t="s">
        <v>18</v>
      </c>
      <c r="C11" s="366" t="s">
        <v>129</v>
      </c>
      <c r="D11" s="338">
        <f>G11+H11+I11</f>
        <v>25525500</v>
      </c>
      <c r="E11" s="143"/>
      <c r="F11" s="384"/>
      <c r="G11" s="385">
        <f>0.6*15015000000*0.0017</f>
        <v>15315300</v>
      </c>
      <c r="H11" s="385">
        <f>0.4*15015000000*0.0017</f>
        <v>10210200</v>
      </c>
      <c r="I11" s="367"/>
      <c r="K11" s="85"/>
    </row>
    <row r="12" spans="1:13" ht="12.75" thickBot="1" x14ac:dyDescent="0.25">
      <c r="B12" s="377" t="s">
        <v>19</v>
      </c>
      <c r="C12" s="366" t="s">
        <v>130</v>
      </c>
      <c r="D12" s="378">
        <f>G12+H12+I12</f>
        <v>104694500</v>
      </c>
      <c r="E12" s="143"/>
      <c r="F12" s="320"/>
      <c r="G12" s="339">
        <f>0.6*61585000000*0.0017</f>
        <v>62816700</v>
      </c>
      <c r="H12" s="339">
        <f>0.4*61585000000*0.0017</f>
        <v>41877800</v>
      </c>
      <c r="I12" s="367"/>
      <c r="K12" s="85"/>
      <c r="L12" s="207">
        <f>D12/10000</f>
        <v>10469.450000000001</v>
      </c>
      <c r="M12" s="207" t="s">
        <v>12</v>
      </c>
    </row>
    <row r="13" spans="1:13" x14ac:dyDescent="0.2">
      <c r="B13" s="112" t="s">
        <v>100</v>
      </c>
      <c r="C13" s="113" t="s">
        <v>131</v>
      </c>
      <c r="D13" s="142">
        <f>SUM(D14:D19)</f>
        <v>783892277.5</v>
      </c>
      <c r="E13" s="123"/>
      <c r="F13" s="107"/>
      <c r="G13" s="146">
        <f>SUM(G14:G19)</f>
        <v>172129957.5</v>
      </c>
      <c r="H13" s="146">
        <f>SUM(H14:H19)</f>
        <v>292045320</v>
      </c>
      <c r="I13" s="146">
        <f>SUM(I14:I19)</f>
        <v>319717000</v>
      </c>
      <c r="K13" s="85"/>
    </row>
    <row r="14" spans="1:13" x14ac:dyDescent="0.2">
      <c r="B14" s="108" t="s">
        <v>20</v>
      </c>
      <c r="C14" s="114" t="s">
        <v>132</v>
      </c>
      <c r="D14" s="110">
        <f>G14+H14+I14</f>
        <v>41950000</v>
      </c>
      <c r="E14" s="143"/>
      <c r="F14" s="111"/>
      <c r="G14" s="144">
        <v>41950000</v>
      </c>
      <c r="H14" s="144"/>
      <c r="I14" s="126"/>
      <c r="K14" s="85"/>
    </row>
    <row r="15" spans="1:13" ht="24" x14ac:dyDescent="0.2">
      <c r="B15" s="108" t="s">
        <v>21</v>
      </c>
      <c r="C15" s="114" t="s">
        <v>133</v>
      </c>
      <c r="D15" s="110">
        <f>G15+H15+I15</f>
        <v>95080277.5</v>
      </c>
      <c r="E15" s="143"/>
      <c r="F15" s="111"/>
      <c r="G15" s="144">
        <f>0.65*(24958.5+35854+1649)*1000000*0.0017</f>
        <v>69019957.5</v>
      </c>
      <c r="H15" s="144">
        <f>0.65*(14742+8842)*1000000*0.0017</f>
        <v>26060320</v>
      </c>
      <c r="I15" s="126"/>
      <c r="K15" s="85"/>
    </row>
    <row r="16" spans="1:13" ht="24" x14ac:dyDescent="0.2">
      <c r="B16" s="108" t="s">
        <v>22</v>
      </c>
      <c r="C16" s="114" t="s">
        <v>134</v>
      </c>
      <c r="D16" s="204">
        <f>G16+H16+I16</f>
        <v>159390000</v>
      </c>
      <c r="E16" s="205"/>
      <c r="F16" s="206"/>
      <c r="G16" s="144">
        <v>30690000</v>
      </c>
      <c r="H16" s="144">
        <v>59400000</v>
      </c>
      <c r="I16" s="144">
        <v>69300000</v>
      </c>
      <c r="K16" s="85"/>
    </row>
    <row r="17" spans="2:12" ht="24" x14ac:dyDescent="0.2">
      <c r="B17" s="108" t="s">
        <v>23</v>
      </c>
      <c r="C17" s="114" t="s">
        <v>135</v>
      </c>
      <c r="D17" s="204">
        <f>G17+H17</f>
        <v>80000000</v>
      </c>
      <c r="E17" s="205"/>
      <c r="F17" s="206"/>
      <c r="G17" s="144">
        <f>5000000</f>
        <v>5000000</v>
      </c>
      <c r="H17" s="144">
        <f>80000000-G17</f>
        <v>75000000</v>
      </c>
      <c r="I17" s="144"/>
      <c r="K17" s="85"/>
    </row>
    <row r="18" spans="2:12" ht="24" x14ac:dyDescent="0.2">
      <c r="B18" s="108" t="s">
        <v>24</v>
      </c>
      <c r="C18" s="114" t="s">
        <v>136</v>
      </c>
      <c r="D18" s="204">
        <f>G18+H18+I18</f>
        <v>105042000</v>
      </c>
      <c r="E18" s="143"/>
      <c r="F18" s="111"/>
      <c r="G18" s="144">
        <v>9550000</v>
      </c>
      <c r="H18" s="144">
        <v>36075000</v>
      </c>
      <c r="I18" s="144">
        <v>59417000</v>
      </c>
      <c r="K18" s="85"/>
    </row>
    <row r="19" spans="2:12" ht="24.75" thickBot="1" x14ac:dyDescent="0.25">
      <c r="B19" s="108" t="s">
        <v>25</v>
      </c>
      <c r="C19" s="319" t="s">
        <v>137</v>
      </c>
      <c r="D19" s="204">
        <f t="shared" ref="D19" si="0">G19+H19+I19</f>
        <v>302430000</v>
      </c>
      <c r="E19" s="143"/>
      <c r="F19" s="320"/>
      <c r="G19" s="314">
        <v>15920000</v>
      </c>
      <c r="H19" s="314">
        <v>95510000</v>
      </c>
      <c r="I19" s="314">
        <v>191000000</v>
      </c>
      <c r="K19" s="85"/>
    </row>
    <row r="20" spans="2:12" x14ac:dyDescent="0.2">
      <c r="B20" s="112" t="s">
        <v>101</v>
      </c>
      <c r="C20" s="113" t="s">
        <v>138</v>
      </c>
      <c r="D20" s="142">
        <f>SUM(D21:D26)</f>
        <v>85750000</v>
      </c>
      <c r="E20" s="123"/>
      <c r="F20" s="107"/>
      <c r="G20" s="146">
        <f>SUM(G21:G26)</f>
        <v>42466666.666666664</v>
      </c>
      <c r="H20" s="146">
        <f t="shared" ref="H20:I20" si="1">SUM(H21:H26)</f>
        <v>43283333.333333328</v>
      </c>
      <c r="I20" s="146">
        <f t="shared" si="1"/>
        <v>0</v>
      </c>
      <c r="K20" s="85"/>
    </row>
    <row r="21" spans="2:12" x14ac:dyDescent="0.2">
      <c r="B21" s="108" t="s">
        <v>26</v>
      </c>
      <c r="C21" s="114" t="s">
        <v>139</v>
      </c>
      <c r="D21" s="110">
        <f>G21+H21+I21</f>
        <v>13750000</v>
      </c>
      <c r="E21" s="143"/>
      <c r="F21" s="111"/>
      <c r="G21" s="144">
        <f>13750000*2/3</f>
        <v>9166666.666666666</v>
      </c>
      <c r="H21" s="144">
        <f>13750000*1/3</f>
        <v>4583333.333333333</v>
      </c>
      <c r="I21" s="144"/>
      <c r="K21" s="85"/>
      <c r="L21" s="82">
        <f>D21/0.0017/1000000</f>
        <v>8088.2352941176468</v>
      </c>
    </row>
    <row r="22" spans="2:12" ht="24" x14ac:dyDescent="0.2">
      <c r="B22" s="108" t="s">
        <v>27</v>
      </c>
      <c r="C22" s="114" t="s">
        <v>140</v>
      </c>
      <c r="D22" s="338">
        <f>G22+H22+I22</f>
        <v>12000000</v>
      </c>
      <c r="E22" s="143"/>
      <c r="F22" s="312"/>
      <c r="G22" s="339">
        <f>2/5*12000000</f>
        <v>4800000</v>
      </c>
      <c r="H22" s="339">
        <f>3/5*12000000</f>
        <v>7200000</v>
      </c>
      <c r="I22" s="144"/>
      <c r="K22" s="85"/>
    </row>
    <row r="23" spans="2:12" ht="24" x14ac:dyDescent="0.2">
      <c r="B23" s="108" t="s">
        <v>28</v>
      </c>
      <c r="C23" s="114" t="s">
        <v>141</v>
      </c>
      <c r="D23" s="338">
        <f t="shared" ref="D23:D25" si="2">G23+H23+I23</f>
        <v>15000000</v>
      </c>
      <c r="E23" s="143"/>
      <c r="F23" s="312"/>
      <c r="G23" s="339">
        <f>2/5*15000000</f>
        <v>6000000</v>
      </c>
      <c r="H23" s="339">
        <f>3/5*15000000</f>
        <v>9000000</v>
      </c>
      <c r="I23" s="144"/>
      <c r="K23" s="85"/>
    </row>
    <row r="24" spans="2:12" ht="36" x14ac:dyDescent="0.2">
      <c r="B24" s="108" t="s">
        <v>29</v>
      </c>
      <c r="C24" s="114" t="s">
        <v>142</v>
      </c>
      <c r="D24" s="338">
        <f t="shared" si="2"/>
        <v>20000000</v>
      </c>
      <c r="E24" s="143"/>
      <c r="F24" s="312"/>
      <c r="G24" s="340">
        <v>8500000</v>
      </c>
      <c r="H24" s="340">
        <v>11500000</v>
      </c>
      <c r="I24" s="144"/>
      <c r="K24" s="85"/>
    </row>
    <row r="25" spans="2:12" ht="24" x14ac:dyDescent="0.2">
      <c r="B25" s="108" t="s">
        <v>30</v>
      </c>
      <c r="C25" s="114" t="s">
        <v>143</v>
      </c>
      <c r="D25" s="338">
        <f t="shared" si="2"/>
        <v>15000000</v>
      </c>
      <c r="E25" s="143"/>
      <c r="F25" s="312"/>
      <c r="G25" s="339">
        <f>3/5*15000000</f>
        <v>9000000</v>
      </c>
      <c r="H25" s="339">
        <f>2/5*15000000</f>
        <v>6000000</v>
      </c>
      <c r="I25" s="144"/>
      <c r="K25" s="85"/>
    </row>
    <row r="26" spans="2:12" ht="24.75" thickBot="1" x14ac:dyDescent="0.25">
      <c r="B26" s="108" t="s">
        <v>31</v>
      </c>
      <c r="C26" s="114" t="s">
        <v>144</v>
      </c>
      <c r="D26" s="338">
        <f t="shared" ref="D26" si="3">G26+H26+I26</f>
        <v>10000000</v>
      </c>
      <c r="E26" s="143"/>
      <c r="F26" s="111"/>
      <c r="G26" s="341">
        <v>5000000</v>
      </c>
      <c r="H26" s="341">
        <v>5000000</v>
      </c>
      <c r="I26" s="144"/>
      <c r="K26" s="85"/>
    </row>
    <row r="27" spans="2:12" x14ac:dyDescent="0.2">
      <c r="B27" s="112" t="s">
        <v>102</v>
      </c>
      <c r="C27" s="113" t="s">
        <v>145</v>
      </c>
      <c r="D27" s="142">
        <f>SUM(D28:D30)</f>
        <v>3034500</v>
      </c>
      <c r="E27" s="123"/>
      <c r="F27" s="107"/>
      <c r="G27" s="146">
        <f>SUM(G28:G30)</f>
        <v>1616700</v>
      </c>
      <c r="H27" s="146">
        <f>SUM(H28:H30)</f>
        <v>1417800</v>
      </c>
      <c r="I27" s="146">
        <f>SUM(I28:I29)</f>
        <v>0</v>
      </c>
      <c r="K27" s="85"/>
    </row>
    <row r="28" spans="2:12" ht="24" x14ac:dyDescent="0.2">
      <c r="B28" s="108" t="s">
        <v>32</v>
      </c>
      <c r="C28" s="114" t="s">
        <v>146</v>
      </c>
      <c r="D28" s="110">
        <f>G28+H28+I28</f>
        <v>340000</v>
      </c>
      <c r="E28" s="143"/>
      <c r="F28" s="111"/>
      <c r="G28" s="144">
        <f>2/5*200000000*0.0017</f>
        <v>136000</v>
      </c>
      <c r="H28" s="144">
        <f>3/5*200000000*0.0017</f>
        <v>204000</v>
      </c>
      <c r="I28" s="126"/>
      <c r="K28" s="85"/>
    </row>
    <row r="29" spans="2:12" ht="24" x14ac:dyDescent="0.2">
      <c r="B29" s="108" t="s">
        <v>33</v>
      </c>
      <c r="C29" s="114" t="s">
        <v>147</v>
      </c>
      <c r="D29" s="110">
        <f>G29+H29+I29</f>
        <v>510000</v>
      </c>
      <c r="E29" s="143"/>
      <c r="F29" s="111"/>
      <c r="G29" s="144">
        <f>1/3*300000000*0.0017</f>
        <v>170000</v>
      </c>
      <c r="H29" s="144">
        <f>2/3*300000000*0.0017</f>
        <v>340000</v>
      </c>
      <c r="I29" s="126"/>
    </row>
    <row r="30" spans="2:12" ht="12.75" thickBot="1" x14ac:dyDescent="0.25">
      <c r="B30" s="377" t="s">
        <v>34</v>
      </c>
      <c r="C30" s="319" t="s">
        <v>148</v>
      </c>
      <c r="D30" s="378">
        <f>G30+H30+I30</f>
        <v>2184500</v>
      </c>
      <c r="E30" s="143"/>
      <c r="F30" s="320"/>
      <c r="G30" s="339">
        <f>0.6*1285000000*0.0017</f>
        <v>1310700</v>
      </c>
      <c r="H30" s="339">
        <f>0.4*1285000000*0.0017</f>
        <v>873800</v>
      </c>
      <c r="I30" s="389"/>
    </row>
    <row r="31" spans="2:12" x14ac:dyDescent="0.2">
      <c r="B31" s="112" t="s">
        <v>103</v>
      </c>
      <c r="C31" s="113" t="s">
        <v>149</v>
      </c>
      <c r="D31" s="142">
        <f>SUM(D32:D37)</f>
        <v>10580970</v>
      </c>
      <c r="E31" s="123"/>
      <c r="F31" s="107"/>
      <c r="G31" s="146">
        <f>SUM(G32:G37)</f>
        <v>5237700</v>
      </c>
      <c r="H31" s="146">
        <f t="shared" ref="H31:I31" si="4">SUM(H32:H37)</f>
        <v>3439270</v>
      </c>
      <c r="I31" s="146">
        <f t="shared" si="4"/>
        <v>1904000</v>
      </c>
      <c r="K31" s="85"/>
    </row>
    <row r="32" spans="2:12" x14ac:dyDescent="0.2">
      <c r="B32" s="108" t="s">
        <v>35</v>
      </c>
      <c r="C32" s="114" t="s">
        <v>150</v>
      </c>
      <c r="D32" s="110">
        <f>G32+H32+I32</f>
        <v>1700000</v>
      </c>
      <c r="E32" s="143"/>
      <c r="F32" s="111"/>
      <c r="G32" s="144">
        <f>0.7*1000000000*0.0017</f>
        <v>1190000</v>
      </c>
      <c r="H32" s="144">
        <f>0.3*1000000000*0.0017</f>
        <v>510000</v>
      </c>
      <c r="I32" s="126"/>
      <c r="K32" s="85"/>
    </row>
    <row r="33" spans="1:14" ht="24" x14ac:dyDescent="0.2">
      <c r="B33" s="108" t="s">
        <v>36</v>
      </c>
      <c r="C33" s="114" t="s">
        <v>151</v>
      </c>
      <c r="D33" s="110">
        <f t="shared" ref="D33:D36" si="5">G33+H33+I33</f>
        <v>1360000</v>
      </c>
      <c r="E33" s="143"/>
      <c r="F33" s="111"/>
      <c r="G33" s="144">
        <f>0.7*800000000*0.0017</f>
        <v>952000</v>
      </c>
      <c r="H33" s="144">
        <f>0.3*800000000*0.0017</f>
        <v>408000</v>
      </c>
      <c r="I33" s="126"/>
      <c r="K33" s="85"/>
    </row>
    <row r="34" spans="1:14" x14ac:dyDescent="0.2">
      <c r="B34" s="108" t="s">
        <v>37</v>
      </c>
      <c r="C34" s="114" t="s">
        <v>152</v>
      </c>
      <c r="D34" s="110">
        <f t="shared" si="5"/>
        <v>3655000</v>
      </c>
      <c r="E34" s="143"/>
      <c r="F34" s="111"/>
      <c r="G34" s="144">
        <f>650000000*0.0017</f>
        <v>1105000</v>
      </c>
      <c r="H34" s="144">
        <f>500000000*0.0017</f>
        <v>850000</v>
      </c>
      <c r="I34" s="144">
        <f>1000000000*0.0017</f>
        <v>1700000</v>
      </c>
      <c r="K34" s="144">
        <f>650000000</f>
        <v>650000000</v>
      </c>
      <c r="L34" s="144">
        <f>500000000</f>
        <v>500000000</v>
      </c>
      <c r="M34" s="144">
        <f>1000000000</f>
        <v>1000000000</v>
      </c>
    </row>
    <row r="35" spans="1:14" ht="24" x14ac:dyDescent="0.2">
      <c r="B35" s="108" t="s">
        <v>38</v>
      </c>
      <c r="C35" s="114" t="s">
        <v>153</v>
      </c>
      <c r="D35" s="110">
        <f>G35+H35+I35</f>
        <v>680000</v>
      </c>
      <c r="E35" s="143"/>
      <c r="F35" s="111"/>
      <c r="G35" s="144">
        <f>0.7*400000000*0.0017</f>
        <v>476000</v>
      </c>
      <c r="H35" s="144">
        <f>0.3*400000000*0.0017</f>
        <v>204000</v>
      </c>
      <c r="I35" s="175"/>
      <c r="K35" s="85"/>
    </row>
    <row r="36" spans="1:14" x14ac:dyDescent="0.2">
      <c r="B36" s="108" t="s">
        <v>39</v>
      </c>
      <c r="C36" s="114" t="s">
        <v>154</v>
      </c>
      <c r="D36" s="110">
        <f t="shared" si="5"/>
        <v>510000</v>
      </c>
      <c r="E36" s="143"/>
      <c r="F36" s="111"/>
      <c r="G36" s="175"/>
      <c r="H36" s="175">
        <f>300000000*0.0017*0.6</f>
        <v>306000</v>
      </c>
      <c r="I36" s="175">
        <f>300000000*0.0017*0.4</f>
        <v>204000</v>
      </c>
      <c r="K36" s="85"/>
    </row>
    <row r="37" spans="1:14" ht="24.75" thickBot="1" x14ac:dyDescent="0.25">
      <c r="B37" s="377" t="s">
        <v>40</v>
      </c>
      <c r="C37" s="366" t="s">
        <v>155</v>
      </c>
      <c r="D37" s="378">
        <f>G37+H37+I37</f>
        <v>2675970</v>
      </c>
      <c r="E37" s="143"/>
      <c r="F37" s="320"/>
      <c r="G37" s="341">
        <f>0.6*1485000000*0.0017</f>
        <v>1514700</v>
      </c>
      <c r="H37" s="341">
        <f>0.46*1485000000*0.0017</f>
        <v>1161270</v>
      </c>
      <c r="I37" s="145"/>
      <c r="K37" s="85"/>
    </row>
    <row r="38" spans="1:14" ht="24" x14ac:dyDescent="0.2">
      <c r="A38" s="82"/>
      <c r="B38" s="112" t="s">
        <v>104</v>
      </c>
      <c r="C38" s="113" t="s">
        <v>156</v>
      </c>
      <c r="D38" s="142">
        <f>SUM(D39:D41)</f>
        <v>24433510</v>
      </c>
      <c r="E38" s="177"/>
      <c r="F38" s="107"/>
      <c r="G38" s="146">
        <f>SUM(G39:G41)</f>
        <v>20111940</v>
      </c>
      <c r="H38" s="146">
        <f>SUM(H39:H41)</f>
        <v>4321570</v>
      </c>
      <c r="I38" s="146">
        <f>SUM(I39:I41)</f>
        <v>0</v>
      </c>
      <c r="K38" s="85"/>
    </row>
    <row r="39" spans="1:14" ht="14.25" x14ac:dyDescent="0.2">
      <c r="A39" s="82"/>
      <c r="B39" s="108" t="s">
        <v>41</v>
      </c>
      <c r="C39" s="114" t="s">
        <v>157</v>
      </c>
      <c r="D39" s="110">
        <f>G39+H39+I39</f>
        <v>11666000</v>
      </c>
      <c r="E39" s="178"/>
      <c r="F39" s="111"/>
      <c r="G39" s="144">
        <v>11666000</v>
      </c>
      <c r="H39" s="144"/>
      <c r="I39" s="179"/>
      <c r="K39"/>
      <c r="L39"/>
      <c r="M39"/>
      <c r="N39"/>
    </row>
    <row r="40" spans="1:14" ht="14.25" x14ac:dyDescent="0.2">
      <c r="A40" s="82"/>
      <c r="B40" s="108" t="s">
        <v>42</v>
      </c>
      <c r="C40" s="114" t="s">
        <v>158</v>
      </c>
      <c r="D40" s="110">
        <f>G40+H40+I40</f>
        <v>12002510</v>
      </c>
      <c r="E40" s="178"/>
      <c r="F40" s="111"/>
      <c r="G40" s="144">
        <f>0.65*(3594+1817+1817)*1000000*0.0017</f>
        <v>7986940</v>
      </c>
      <c r="H40" s="144">
        <f>0.65*(1817+1817)*1000000*0.0017</f>
        <v>4015570</v>
      </c>
      <c r="I40" s="179"/>
      <c r="K40"/>
      <c r="L40"/>
      <c r="M40"/>
      <c r="N40"/>
    </row>
    <row r="41" spans="1:14" ht="24.75" thickBot="1" x14ac:dyDescent="0.25">
      <c r="A41" s="82"/>
      <c r="B41" s="108" t="s">
        <v>43</v>
      </c>
      <c r="C41" s="114" t="s">
        <v>159</v>
      </c>
      <c r="D41" s="110">
        <f>G41+H41+I41</f>
        <v>765000</v>
      </c>
      <c r="E41" s="178"/>
      <c r="F41" s="111"/>
      <c r="G41" s="144">
        <f>3/5*450000000*0.0017</f>
        <v>459000</v>
      </c>
      <c r="H41" s="144">
        <f>2/5*450000000*0.0017</f>
        <v>306000</v>
      </c>
      <c r="I41" s="144"/>
      <c r="K41"/>
      <c r="L41"/>
      <c r="M41"/>
      <c r="N41"/>
    </row>
    <row r="42" spans="1:14" ht="15" thickBot="1" x14ac:dyDescent="0.25">
      <c r="B42" s="115" t="s">
        <v>90</v>
      </c>
      <c r="C42" s="116"/>
      <c r="D42" s="150">
        <f>D7+D13+D20+D27+D31+D38</f>
        <v>1055911257.5</v>
      </c>
      <c r="E42" s="151"/>
      <c r="F42" s="152">
        <v>0</v>
      </c>
      <c r="G42" s="152">
        <f>G13+G7+G20+G27+G31+G38</f>
        <v>333794964.16666669</v>
      </c>
      <c r="H42" s="152">
        <f>H13+H7+H20+H27+H31+H38</f>
        <v>400495293.33333331</v>
      </c>
      <c r="I42" s="152">
        <f>I13+I7+I20+I27+I31+I38</f>
        <v>321621000</v>
      </c>
      <c r="K42"/>
      <c r="L42"/>
      <c r="M42"/>
      <c r="N42"/>
    </row>
    <row r="43" spans="1:14" ht="12.75" thickBot="1" x14ac:dyDescent="0.25">
      <c r="A43" s="344"/>
      <c r="B43" s="343"/>
      <c r="C43" s="117"/>
      <c r="D43" s="153"/>
      <c r="E43" s="154"/>
      <c r="F43" s="155"/>
      <c r="G43" s="155"/>
      <c r="H43" s="155"/>
      <c r="I43" s="155"/>
      <c r="J43" s="342"/>
      <c r="K43" s="345"/>
    </row>
    <row r="44" spans="1:14" ht="12.75" thickBot="1" x14ac:dyDescent="0.25">
      <c r="B44" s="118" t="s">
        <v>88</v>
      </c>
      <c r="C44" s="91" t="s">
        <v>115</v>
      </c>
      <c r="D44" s="211" t="str">
        <f>D2</f>
        <v>Budget (USD)</v>
      </c>
      <c r="E44" s="93"/>
      <c r="F44" s="94" t="s">
        <v>0</v>
      </c>
      <c r="G44" s="90">
        <v>2025</v>
      </c>
      <c r="H44" s="90">
        <v>2030</v>
      </c>
      <c r="I44" s="90">
        <v>2040</v>
      </c>
      <c r="K44" s="85"/>
    </row>
    <row r="45" spans="1:14" ht="24" customHeight="1" x14ac:dyDescent="0.2">
      <c r="B45" s="119" t="s">
        <v>91</v>
      </c>
      <c r="C45" s="397" t="s">
        <v>121</v>
      </c>
      <c r="D45" s="212">
        <f>SUM(G45:I45)</f>
        <v>396207562.33333337</v>
      </c>
      <c r="E45" s="213"/>
      <c r="F45" s="214">
        <v>0</v>
      </c>
      <c r="G45" s="215">
        <f>G47+G53+G57+G70</f>
        <v>165049125.66666669</v>
      </c>
      <c r="H45" s="216">
        <f>H47+H53+H57+H70</f>
        <v>182450436.66666669</v>
      </c>
      <c r="I45" s="216">
        <f>I47+I53+I57+I70</f>
        <v>48708000</v>
      </c>
      <c r="K45" s="85"/>
    </row>
    <row r="46" spans="1:14" ht="15" customHeight="1" thickBot="1" x14ac:dyDescent="0.25">
      <c r="B46" s="120"/>
      <c r="C46" s="398"/>
      <c r="D46" s="217"/>
      <c r="E46" s="213"/>
      <c r="F46" s="218">
        <v>0</v>
      </c>
      <c r="G46" s="219">
        <f>G45/$D45</f>
        <v>0.41657237609162345</v>
      </c>
      <c r="H46" s="219">
        <f>H45/$D45</f>
        <v>0.46049206025292699</v>
      </c>
      <c r="I46" s="219">
        <f>I45/$D45</f>
        <v>0.12293556365544955</v>
      </c>
      <c r="K46" s="85"/>
    </row>
    <row r="47" spans="1:14" x14ac:dyDescent="0.2">
      <c r="B47" s="121" t="s">
        <v>105</v>
      </c>
      <c r="C47" s="122" t="s">
        <v>186</v>
      </c>
      <c r="D47" s="198">
        <f>SUM(D48:D52)</f>
        <v>35053625</v>
      </c>
      <c r="E47" s="147"/>
      <c r="F47" s="196"/>
      <c r="G47" s="197">
        <f>SUM(G48:G52)</f>
        <v>25502175</v>
      </c>
      <c r="H47" s="197">
        <f>SUM(H48:H52)</f>
        <v>9551450</v>
      </c>
      <c r="I47" s="197">
        <f>SUM(I48:I52)</f>
        <v>0</v>
      </c>
      <c r="K47" s="85"/>
    </row>
    <row r="48" spans="1:14" s="81" customFormat="1" ht="24" x14ac:dyDescent="0.2">
      <c r="B48" s="124" t="s">
        <v>44</v>
      </c>
      <c r="C48" s="125" t="s">
        <v>185</v>
      </c>
      <c r="D48" s="110">
        <f>G48+H48+I48</f>
        <v>8978125</v>
      </c>
      <c r="E48" s="156"/>
      <c r="F48" s="157"/>
      <c r="G48" s="144">
        <f>0.65*(3*1625)*1000000*0.0017</f>
        <v>5386875</v>
      </c>
      <c r="H48" s="144">
        <f>0.65*(2*1625)*1000000*0.0017</f>
        <v>3591250</v>
      </c>
      <c r="I48" s="157"/>
      <c r="J48" s="82"/>
    </row>
    <row r="49" spans="1:17" s="81" customFormat="1" ht="24" x14ac:dyDescent="0.2">
      <c r="B49" s="124" t="s">
        <v>45</v>
      </c>
      <c r="C49" s="125" t="s">
        <v>187</v>
      </c>
      <c r="D49" s="324">
        <f>G49+H49+I49</f>
        <v>2550000</v>
      </c>
      <c r="E49" s="156"/>
      <c r="F49" s="157"/>
      <c r="G49" s="157"/>
      <c r="H49" s="144">
        <f>1.5*1000000000*0.0017</f>
        <v>2550000</v>
      </c>
      <c r="I49" s="157"/>
      <c r="J49" s="82"/>
      <c r="K49" s="85"/>
    </row>
    <row r="50" spans="1:17" s="81" customFormat="1" x14ac:dyDescent="0.2">
      <c r="B50" s="351" t="s">
        <v>46</v>
      </c>
      <c r="C50" s="203" t="s">
        <v>188</v>
      </c>
      <c r="D50" s="352">
        <f>G50+H50+I50</f>
        <v>15000000</v>
      </c>
      <c r="E50" s="156"/>
      <c r="F50" s="353"/>
      <c r="G50" s="144">
        <f>25000000-10000000</f>
        <v>15000000</v>
      </c>
      <c r="H50" s="314"/>
      <c r="I50" s="354"/>
      <c r="J50" s="82"/>
      <c r="K50" s="85"/>
    </row>
    <row r="51" spans="1:17" s="81" customFormat="1" x14ac:dyDescent="0.2">
      <c r="B51" s="351" t="s">
        <v>47</v>
      </c>
      <c r="C51" s="203" t="s">
        <v>189</v>
      </c>
      <c r="D51" s="352">
        <f>G51+H51+I51</f>
        <v>5984000</v>
      </c>
      <c r="E51" s="156"/>
      <c r="F51" s="353"/>
      <c r="G51" s="339">
        <f>0.6*3520000000*0.0017</f>
        <v>3590400</v>
      </c>
      <c r="H51" s="339">
        <f>0.4*3520000000*0.0017</f>
        <v>2393600</v>
      </c>
      <c r="I51" s="354"/>
      <c r="J51" s="82"/>
      <c r="K51" s="85"/>
      <c r="L51" s="207">
        <f>D51/120</f>
        <v>49866.666666666664</v>
      </c>
      <c r="M51" s="207" t="s">
        <v>12</v>
      </c>
    </row>
    <row r="52" spans="1:17" s="81" customFormat="1" ht="24.75" thickBot="1" x14ac:dyDescent="0.25">
      <c r="B52" s="351" t="s">
        <v>48</v>
      </c>
      <c r="C52" s="203" t="s">
        <v>190</v>
      </c>
      <c r="D52" s="352">
        <f>G52+H52+I52</f>
        <v>2541500</v>
      </c>
      <c r="E52" s="156"/>
      <c r="F52" s="353"/>
      <c r="G52" s="339">
        <f>0.6*1495000000 *0.0017</f>
        <v>1524900</v>
      </c>
      <c r="H52" s="339">
        <f>0.4*1495000000 *0.0017</f>
        <v>1016600</v>
      </c>
      <c r="I52" s="354"/>
      <c r="J52" s="82"/>
      <c r="K52" s="85"/>
      <c r="L52" s="207"/>
      <c r="M52" s="207"/>
    </row>
    <row r="53" spans="1:17" s="81" customFormat="1" x14ac:dyDescent="0.2">
      <c r="B53" s="127" t="s">
        <v>106</v>
      </c>
      <c r="C53" s="128" t="s">
        <v>191</v>
      </c>
      <c r="D53" s="198">
        <f>SUM(D54:D55)</f>
        <v>39680000</v>
      </c>
      <c r="E53" s="156"/>
      <c r="F53" s="158"/>
      <c r="G53" s="197">
        <f>SUM(G54:G55)</f>
        <v>16000000</v>
      </c>
      <c r="H53" s="197">
        <f>SUM(H54:H55)</f>
        <v>17776000</v>
      </c>
      <c r="I53" s="197">
        <f>SUM(I54:I55)</f>
        <v>5904000</v>
      </c>
      <c r="J53" s="82"/>
      <c r="K53" s="85"/>
    </row>
    <row r="54" spans="1:17" s="81" customFormat="1" ht="24" x14ac:dyDescent="0.2">
      <c r="B54" s="124" t="s">
        <v>49</v>
      </c>
      <c r="C54" s="125" t="s">
        <v>192</v>
      </c>
      <c r="D54" s="110">
        <f>G54+H54+I54</f>
        <v>8000000</v>
      </c>
      <c r="E54" s="156"/>
      <c r="F54" s="157"/>
      <c r="G54" s="144">
        <f>8000000*0.8</f>
        <v>6400000</v>
      </c>
      <c r="H54" s="144">
        <f>8000000*0.2</f>
        <v>1600000</v>
      </c>
      <c r="I54" s="157"/>
      <c r="J54" s="82"/>
      <c r="K54" s="85"/>
    </row>
    <row r="55" spans="1:17" s="81" customFormat="1" x14ac:dyDescent="0.2">
      <c r="B55" s="191" t="s">
        <v>50</v>
      </c>
      <c r="C55" s="203" t="s">
        <v>193</v>
      </c>
      <c r="D55" s="204">
        <f>G55+H55+I55</f>
        <v>31680000</v>
      </c>
      <c r="E55" s="205"/>
      <c r="F55" s="206"/>
      <c r="G55" s="144">
        <f>12000000*0.8</f>
        <v>9600000</v>
      </c>
      <c r="H55" s="144">
        <f>12000000*0.2+1.64*12000000*0.7</f>
        <v>16176000</v>
      </c>
      <c r="I55" s="144">
        <f>1.64*12000000*0.3</f>
        <v>5904000</v>
      </c>
      <c r="J55" s="82"/>
      <c r="K55" s="85"/>
    </row>
    <row r="56" spans="1:17" s="81" customFormat="1" ht="12.75" thickBot="1" x14ac:dyDescent="0.25">
      <c r="B56" s="351" t="s">
        <v>51</v>
      </c>
      <c r="C56" s="203" t="s">
        <v>194</v>
      </c>
      <c r="D56" s="352">
        <f>G56+H56+I56</f>
        <v>1152600</v>
      </c>
      <c r="E56" s="156"/>
      <c r="F56" s="388"/>
      <c r="G56" s="339">
        <f>0.6*678000000*0.0017</f>
        <v>691560</v>
      </c>
      <c r="H56" s="339">
        <f>0.4*678000000*0.0017</f>
        <v>461040</v>
      </c>
      <c r="I56" s="354"/>
      <c r="J56" s="82"/>
      <c r="K56" s="85"/>
    </row>
    <row r="57" spans="1:17" s="81" customFormat="1" ht="24" x14ac:dyDescent="0.2">
      <c r="A57" s="82"/>
      <c r="B57" s="127" t="s">
        <v>107</v>
      </c>
      <c r="C57" s="128" t="s">
        <v>195</v>
      </c>
      <c r="D57" s="198">
        <f>SUM(D58:D68)</f>
        <v>295848937.33333337</v>
      </c>
      <c r="E57" s="190"/>
      <c r="F57" s="158"/>
      <c r="G57" s="197">
        <f>SUM(G58:G69)</f>
        <v>117721950.66666667</v>
      </c>
      <c r="H57" s="197">
        <f>SUM(H58:H69)</f>
        <v>148822986.66666669</v>
      </c>
      <c r="I57" s="197">
        <f>SUM(I58:I69)</f>
        <v>42804000</v>
      </c>
      <c r="J57" s="82"/>
      <c r="K57" s="85"/>
      <c r="L57" s="82"/>
      <c r="M57" s="82"/>
      <c r="N57" s="82"/>
    </row>
    <row r="58" spans="1:17" s="81" customFormat="1" x14ac:dyDescent="0.2">
      <c r="A58" s="82"/>
      <c r="B58" s="191" t="s">
        <v>52</v>
      </c>
      <c r="C58" s="192" t="s">
        <v>196</v>
      </c>
      <c r="D58" s="110">
        <f>G58+H58+I58</f>
        <v>13453000</v>
      </c>
      <c r="E58" s="190"/>
      <c r="F58" s="193"/>
      <c r="G58" s="144">
        <f>SUM(N58:Q58)*1000</f>
        <v>13453000</v>
      </c>
      <c r="H58" s="144"/>
      <c r="I58" s="193"/>
      <c r="J58" s="82"/>
      <c r="K58" s="85"/>
      <c r="L58" s="207">
        <v>898</v>
      </c>
      <c r="M58" s="207">
        <v>4037</v>
      </c>
      <c r="N58" s="207">
        <v>3655</v>
      </c>
      <c r="O58" s="207">
        <v>4848</v>
      </c>
      <c r="P58" s="207">
        <v>4488</v>
      </c>
      <c r="Q58" s="81">
        <v>462</v>
      </c>
    </row>
    <row r="59" spans="1:17" s="81" customFormat="1" x14ac:dyDescent="0.2">
      <c r="A59" s="82"/>
      <c r="B59" s="191" t="s">
        <v>53</v>
      </c>
      <c r="C59" s="192" t="s">
        <v>197</v>
      </c>
      <c r="D59" s="110">
        <f t="shared" ref="D59:D66" si="6">G59+H59+I59</f>
        <v>1286220</v>
      </c>
      <c r="E59" s="190"/>
      <c r="F59" s="193"/>
      <c r="G59" s="144">
        <f>0.65*(L59+M59+N59)*1000000*0.0017</f>
        <v>884000</v>
      </c>
      <c r="H59" s="144">
        <f>0.65*(O59+P59)*1000000*0.0017</f>
        <v>402220</v>
      </c>
      <c r="I59" s="193"/>
      <c r="J59" s="82"/>
      <c r="K59" s="85"/>
      <c r="L59" s="82">
        <v>334</v>
      </c>
      <c r="M59" s="82">
        <v>284</v>
      </c>
      <c r="N59" s="82">
        <v>182</v>
      </c>
      <c r="O59" s="82">
        <v>182</v>
      </c>
      <c r="P59" s="82">
        <v>182</v>
      </c>
    </row>
    <row r="60" spans="1:17" s="81" customFormat="1" x14ac:dyDescent="0.2">
      <c r="A60" s="82"/>
      <c r="B60" s="191" t="s">
        <v>54</v>
      </c>
      <c r="C60" s="192" t="s">
        <v>198</v>
      </c>
      <c r="D60" s="110">
        <f t="shared" si="6"/>
        <v>150480000</v>
      </c>
      <c r="E60" s="190"/>
      <c r="F60" s="193"/>
      <c r="G60" s="144">
        <f>57000000*0.8</f>
        <v>45600000</v>
      </c>
      <c r="H60" s="144">
        <f>57000000*0.2+1.64*57000000*0.7</f>
        <v>76836000</v>
      </c>
      <c r="I60" s="144">
        <f>1.64*57000000*0.3</f>
        <v>28044000</v>
      </c>
      <c r="J60" s="82"/>
      <c r="K60" s="85"/>
      <c r="L60" s="82"/>
      <c r="M60" s="82"/>
      <c r="N60" s="82"/>
    </row>
    <row r="61" spans="1:17" s="81" customFormat="1" x14ac:dyDescent="0.2">
      <c r="A61" s="82"/>
      <c r="B61" s="191" t="s">
        <v>55</v>
      </c>
      <c r="C61" s="192" t="s">
        <v>199</v>
      </c>
      <c r="D61" s="110">
        <f t="shared" si="6"/>
        <v>79200000</v>
      </c>
      <c r="E61" s="190"/>
      <c r="F61" s="193"/>
      <c r="G61" s="144">
        <f>30000000*0.8</f>
        <v>24000000</v>
      </c>
      <c r="H61" s="144">
        <f>30000000*0.2+1.64*30000000*0.7</f>
        <v>40440000</v>
      </c>
      <c r="I61" s="144">
        <f>1.64*30000000*0.3</f>
        <v>14760000</v>
      </c>
      <c r="J61" s="82"/>
      <c r="K61" s="85"/>
      <c r="L61" s="82"/>
      <c r="M61" s="82"/>
      <c r="N61" s="82"/>
    </row>
    <row r="62" spans="1:17" s="81" customFormat="1" x14ac:dyDescent="0.2">
      <c r="A62" s="82"/>
      <c r="B62" s="191" t="s">
        <v>56</v>
      </c>
      <c r="C62" s="192" t="s">
        <v>200</v>
      </c>
      <c r="D62" s="110">
        <f t="shared" si="6"/>
        <v>3000000</v>
      </c>
      <c r="E62" s="190"/>
      <c r="F62" s="193"/>
      <c r="G62" s="144">
        <f>CEILING(2/5*2/3*11000000,100000)</f>
        <v>3000000</v>
      </c>
      <c r="H62" s="144"/>
      <c r="I62" s="144"/>
      <c r="J62" s="82"/>
      <c r="K62" s="85"/>
      <c r="L62" s="82"/>
      <c r="M62" s="82"/>
      <c r="N62" s="82"/>
    </row>
    <row r="63" spans="1:17" s="81" customFormat="1" x14ac:dyDescent="0.2">
      <c r="A63" s="82"/>
      <c r="B63" s="191" t="s">
        <v>57</v>
      </c>
      <c r="C63" s="192" t="s">
        <v>201</v>
      </c>
      <c r="D63" s="110">
        <f t="shared" si="6"/>
        <v>13659500</v>
      </c>
      <c r="E63" s="190"/>
      <c r="F63" s="193"/>
      <c r="G63" s="144">
        <f>0.4*8035000000*0.0017</f>
        <v>5463800</v>
      </c>
      <c r="H63" s="144">
        <f>0.6*8035000000*0.0017</f>
        <v>8195700</v>
      </c>
      <c r="I63" s="144"/>
      <c r="J63" s="82"/>
      <c r="K63" s="85"/>
      <c r="L63" s="82"/>
      <c r="M63" s="82"/>
      <c r="N63" s="82"/>
    </row>
    <row r="64" spans="1:17" s="81" customFormat="1" ht="14.25" customHeight="1" x14ac:dyDescent="0.2">
      <c r="A64" s="82"/>
      <c r="B64" s="124" t="s">
        <v>58</v>
      </c>
      <c r="C64" s="192" t="s">
        <v>202</v>
      </c>
      <c r="D64" s="201">
        <f t="shared" si="6"/>
        <v>453333.33333333331</v>
      </c>
      <c r="E64" s="190"/>
      <c r="F64" s="193"/>
      <c r="G64" s="144">
        <f>2/3*200000000*0.0017</f>
        <v>226666.66666666666</v>
      </c>
      <c r="H64" s="144">
        <f>2/3*200000000*0.0017</f>
        <v>226666.66666666666</v>
      </c>
      <c r="I64" s="144"/>
      <c r="J64" s="82"/>
      <c r="K64" s="85"/>
      <c r="L64" s="82"/>
      <c r="M64" s="82"/>
      <c r="N64" s="82"/>
    </row>
    <row r="65" spans="1:16" s="81" customFormat="1" x14ac:dyDescent="0.2">
      <c r="A65" s="82"/>
      <c r="B65" s="124" t="s">
        <v>59</v>
      </c>
      <c r="C65" s="192" t="s">
        <v>203</v>
      </c>
      <c r="D65" s="201">
        <f t="shared" si="6"/>
        <v>176800</v>
      </c>
      <c r="E65" s="202"/>
      <c r="F65" s="179"/>
      <c r="G65" s="144">
        <f>0.65*800*100000*0.0017</f>
        <v>88400</v>
      </c>
      <c r="H65" s="144">
        <f>0.65*800*100000*0.0017</f>
        <v>88400</v>
      </c>
      <c r="I65" s="144"/>
      <c r="J65" s="82"/>
      <c r="K65" s="85"/>
      <c r="L65" s="82"/>
      <c r="M65" s="82"/>
      <c r="N65" s="82"/>
      <c r="O65" s="82"/>
      <c r="P65" s="82"/>
    </row>
    <row r="66" spans="1:16" s="81" customFormat="1" ht="24" x14ac:dyDescent="0.2">
      <c r="A66" s="82"/>
      <c r="B66" s="351" t="s">
        <v>60</v>
      </c>
      <c r="C66" s="368" t="s">
        <v>204</v>
      </c>
      <c r="D66" s="369">
        <f t="shared" si="6"/>
        <v>55084</v>
      </c>
      <c r="E66" s="202"/>
      <c r="F66" s="370"/>
      <c r="G66" s="314">
        <v>55084</v>
      </c>
      <c r="H66" s="314"/>
      <c r="I66" s="314"/>
      <c r="J66" s="82"/>
      <c r="K66" s="85"/>
      <c r="L66" s="82"/>
      <c r="M66" s="82"/>
      <c r="N66" s="82"/>
      <c r="O66" s="82"/>
      <c r="P66" s="82"/>
    </row>
    <row r="67" spans="1:16" s="81" customFormat="1" x14ac:dyDescent="0.2">
      <c r="A67" s="82"/>
      <c r="B67" s="351" t="s">
        <v>61</v>
      </c>
      <c r="C67" s="368" t="s">
        <v>205</v>
      </c>
      <c r="D67" s="378">
        <f>G67+H67+I67</f>
        <v>17085000</v>
      </c>
      <c r="E67" s="143"/>
      <c r="F67" s="320"/>
      <c r="G67" s="339">
        <f>0.6*10050000000 *0.0017</f>
        <v>10251000</v>
      </c>
      <c r="H67" s="339">
        <f>0.4*10050000000 *0.0017</f>
        <v>6834000</v>
      </c>
      <c r="I67" s="314"/>
      <c r="J67" s="82"/>
      <c r="K67" s="85"/>
      <c r="L67" s="82"/>
      <c r="M67" s="82"/>
      <c r="N67" s="82"/>
      <c r="O67" s="82"/>
      <c r="P67" s="82"/>
    </row>
    <row r="68" spans="1:16" s="81" customFormat="1" x14ac:dyDescent="0.2">
      <c r="A68" s="82"/>
      <c r="B68" s="351" t="s">
        <v>62</v>
      </c>
      <c r="C68" s="368" t="s">
        <v>13</v>
      </c>
      <c r="D68" s="378">
        <f>G68+H68+I68</f>
        <v>17000000</v>
      </c>
      <c r="E68" s="386"/>
      <c r="F68" s="387"/>
      <c r="G68" s="339">
        <f>0.6*10000000000*0.0017</f>
        <v>10200000</v>
      </c>
      <c r="H68" s="339">
        <f>0.4*10000000000*0.0017</f>
        <v>6800000</v>
      </c>
      <c r="I68" s="314"/>
      <c r="J68" s="82"/>
      <c r="K68" s="85"/>
      <c r="L68" s="82"/>
      <c r="M68" s="82"/>
      <c r="N68" s="82"/>
      <c r="O68" s="82"/>
      <c r="P68" s="82"/>
    </row>
    <row r="69" spans="1:16" s="81" customFormat="1" ht="12.75" thickBot="1" x14ac:dyDescent="0.25">
      <c r="A69" s="82"/>
      <c r="B69" s="351" t="s">
        <v>63</v>
      </c>
      <c r="C69" s="368" t="s">
        <v>206</v>
      </c>
      <c r="D69" s="378">
        <f>G69+H69+I69</f>
        <v>13500000</v>
      </c>
      <c r="E69" s="386"/>
      <c r="F69" s="387"/>
      <c r="G69" s="385">
        <f>13500000*1/3</f>
        <v>4500000</v>
      </c>
      <c r="H69" s="385">
        <f>13500000*2/3</f>
        <v>9000000</v>
      </c>
      <c r="I69" s="314"/>
      <c r="J69" s="82"/>
      <c r="K69" s="85"/>
      <c r="L69" s="82"/>
      <c r="M69" s="82"/>
      <c r="N69" s="82"/>
      <c r="O69" s="82"/>
      <c r="P69" s="82"/>
    </row>
    <row r="70" spans="1:16" s="81" customFormat="1" x14ac:dyDescent="0.2">
      <c r="A70" s="82"/>
      <c r="B70" s="127" t="s">
        <v>108</v>
      </c>
      <c r="C70" s="128" t="s">
        <v>207</v>
      </c>
      <c r="D70" s="198">
        <f>SUM(D71:D74)</f>
        <v>12125000</v>
      </c>
      <c r="E70" s="190"/>
      <c r="F70" s="158"/>
      <c r="G70" s="197">
        <f>SUM(G71:G74)</f>
        <v>5825000</v>
      </c>
      <c r="H70" s="197">
        <f>SUM(H71:H74)</f>
        <v>6300000</v>
      </c>
      <c r="I70" s="197">
        <f>SUM(I71:I74)</f>
        <v>0</v>
      </c>
      <c r="J70" s="82"/>
      <c r="K70" s="85"/>
      <c r="L70" s="82"/>
      <c r="M70" s="82"/>
      <c r="N70" s="82"/>
      <c r="O70" s="82"/>
      <c r="P70" s="82"/>
    </row>
    <row r="71" spans="1:16" s="81" customFormat="1" x14ac:dyDescent="0.2">
      <c r="A71" s="82"/>
      <c r="B71" s="191" t="s">
        <v>64</v>
      </c>
      <c r="C71" s="192" t="s">
        <v>208</v>
      </c>
      <c r="D71" s="110">
        <f>G71+H71+I71</f>
        <v>7000000</v>
      </c>
      <c r="E71" s="190"/>
      <c r="F71" s="193"/>
      <c r="G71" s="144">
        <f>7000000*0.65</f>
        <v>4550000</v>
      </c>
      <c r="H71" s="144">
        <f>7000000*0.35</f>
        <v>2450000</v>
      </c>
      <c r="I71" s="193"/>
      <c r="J71" s="82"/>
      <c r="K71" s="85"/>
      <c r="L71" s="82"/>
      <c r="M71" s="82"/>
      <c r="N71" s="82"/>
      <c r="O71" s="82"/>
      <c r="P71" s="82"/>
    </row>
    <row r="72" spans="1:16" s="81" customFormat="1" x14ac:dyDescent="0.2">
      <c r="A72" s="82"/>
      <c r="B72" s="191" t="s">
        <v>65</v>
      </c>
      <c r="C72" s="192" t="s">
        <v>209</v>
      </c>
      <c r="D72" s="110">
        <f>G72+H72+I72</f>
        <v>425000</v>
      </c>
      <c r="E72" s="190"/>
      <c r="F72" s="193"/>
      <c r="G72" s="144">
        <f>2/5*250000000*0.0017</f>
        <v>170000</v>
      </c>
      <c r="H72" s="144">
        <f>3/5*250000000*0.0017</f>
        <v>255000</v>
      </c>
      <c r="I72" s="193"/>
      <c r="J72" s="82"/>
      <c r="K72" s="85"/>
      <c r="L72" s="82"/>
      <c r="M72" s="82"/>
      <c r="N72" s="82"/>
      <c r="O72" s="82"/>
      <c r="P72" s="82"/>
    </row>
    <row r="73" spans="1:16" s="81" customFormat="1" ht="11.65" customHeight="1" x14ac:dyDescent="0.2">
      <c r="A73" s="82"/>
      <c r="B73" s="191" t="s">
        <v>66</v>
      </c>
      <c r="C73" s="192" t="s">
        <v>210</v>
      </c>
      <c r="D73" s="110">
        <f>G73+H73+I73</f>
        <v>3000000</v>
      </c>
      <c r="E73" s="190"/>
      <c r="F73" s="193"/>
      <c r="G73" s="144"/>
      <c r="H73" s="144">
        <v>3000000</v>
      </c>
      <c r="I73" s="193"/>
      <c r="J73" s="82"/>
      <c r="K73" s="85"/>
      <c r="L73" s="82"/>
      <c r="M73" s="82"/>
      <c r="N73" s="82"/>
      <c r="O73" s="82"/>
      <c r="P73" s="82"/>
    </row>
    <row r="74" spans="1:16" s="81" customFormat="1" ht="12.75" thickBot="1" x14ac:dyDescent="0.25">
      <c r="A74" s="82"/>
      <c r="B74" s="191" t="s">
        <v>67</v>
      </c>
      <c r="C74" s="192" t="s">
        <v>211</v>
      </c>
      <c r="D74" s="110">
        <f>G74+H74+I74</f>
        <v>1700000</v>
      </c>
      <c r="E74" s="190"/>
      <c r="F74" s="193"/>
      <c r="G74" s="144">
        <f>0.65*1000000000*0.0017</f>
        <v>1105000</v>
      </c>
      <c r="H74" s="144">
        <f>0.35*1000000000*0.0017</f>
        <v>595000</v>
      </c>
      <c r="I74" s="193"/>
      <c r="J74" s="82"/>
      <c r="K74" s="85"/>
      <c r="L74" s="82"/>
      <c r="M74" s="82"/>
      <c r="N74" s="82"/>
      <c r="O74" s="82"/>
      <c r="P74" s="82"/>
    </row>
    <row r="75" spans="1:16" ht="12.75" thickBot="1" x14ac:dyDescent="0.25">
      <c r="B75" s="129" t="s">
        <v>92</v>
      </c>
      <c r="C75" s="130"/>
      <c r="D75" s="159">
        <f>D47+D53+D57+D70</f>
        <v>382707562.33333337</v>
      </c>
      <c r="E75" s="151"/>
      <c r="F75" s="160"/>
      <c r="G75" s="160">
        <f t="shared" ref="G75:I75" si="7">G47+G53+G57+G70</f>
        <v>165049125.66666669</v>
      </c>
      <c r="H75" s="160">
        <f t="shared" si="7"/>
        <v>182450436.66666669</v>
      </c>
      <c r="I75" s="160">
        <f t="shared" si="7"/>
        <v>48708000</v>
      </c>
      <c r="K75" s="85"/>
    </row>
    <row r="76" spans="1:16" ht="12.75" thickBot="1" x14ac:dyDescent="0.25">
      <c r="A76" s="344"/>
      <c r="B76" s="343"/>
      <c r="C76" s="117"/>
      <c r="D76" s="161"/>
      <c r="E76" s="154"/>
      <c r="F76" s="162"/>
      <c r="G76" s="162"/>
      <c r="H76" s="162"/>
      <c r="I76" s="162"/>
      <c r="J76" s="342"/>
      <c r="K76" s="345"/>
    </row>
    <row r="77" spans="1:16" s="87" customFormat="1" ht="12.75" thickBot="1" x14ac:dyDescent="0.25">
      <c r="A77" s="86"/>
      <c r="B77" s="118" t="s">
        <v>88</v>
      </c>
      <c r="C77" s="91" t="s">
        <v>115</v>
      </c>
      <c r="D77" s="211" t="str">
        <f>D44</f>
        <v>Budget (USD)</v>
      </c>
      <c r="E77" s="220"/>
      <c r="F77" s="211" t="s">
        <v>0</v>
      </c>
      <c r="G77" s="90">
        <v>2025</v>
      </c>
      <c r="H77" s="90">
        <v>2030</v>
      </c>
      <c r="I77" s="90">
        <v>2040</v>
      </c>
      <c r="K77" s="85"/>
    </row>
    <row r="78" spans="1:16" s="87" customFormat="1" ht="24" customHeight="1" x14ac:dyDescent="0.2">
      <c r="A78" s="86"/>
      <c r="B78" s="131" t="s">
        <v>93</v>
      </c>
      <c r="C78" s="399" t="s">
        <v>122</v>
      </c>
      <c r="D78" s="221">
        <f>D80+D84</f>
        <v>21563590</v>
      </c>
      <c r="E78" s="213"/>
      <c r="F78" s="222"/>
      <c r="G78" s="200">
        <f>G80+G84</f>
        <v>13483220</v>
      </c>
      <c r="H78" s="200">
        <f>H80+H84</f>
        <v>6890370</v>
      </c>
      <c r="I78" s="200">
        <f>I80+I84</f>
        <v>1190000</v>
      </c>
      <c r="K78" s="85"/>
    </row>
    <row r="79" spans="1:16" s="87" customFormat="1" ht="15" customHeight="1" thickBot="1" x14ac:dyDescent="0.25">
      <c r="A79" s="86"/>
      <c r="B79" s="132"/>
      <c r="C79" s="400"/>
      <c r="D79" s="223"/>
      <c r="E79" s="213"/>
      <c r="F79" s="224">
        <v>0</v>
      </c>
      <c r="G79" s="209">
        <f>G78/$D78</f>
        <v>0.62527714541038848</v>
      </c>
      <c r="H79" s="209">
        <f>H78/$D78</f>
        <v>0.31953723846539467</v>
      </c>
      <c r="I79" s="209">
        <f>I78/$D78</f>
        <v>5.5185616124216796E-2</v>
      </c>
      <c r="K79" s="85"/>
    </row>
    <row r="80" spans="1:16" s="87" customFormat="1" x14ac:dyDescent="0.2">
      <c r="A80" s="86"/>
      <c r="B80" s="133" t="s">
        <v>109</v>
      </c>
      <c r="C80" s="134" t="s">
        <v>212</v>
      </c>
      <c r="D80" s="199">
        <f>SUM(D81:D83)</f>
        <v>19880590</v>
      </c>
      <c r="E80" s="147"/>
      <c r="F80" s="163"/>
      <c r="G80" s="208">
        <f>SUM(G81:G83)</f>
        <v>12939220</v>
      </c>
      <c r="H80" s="208">
        <f>SUM(H81:H83)</f>
        <v>5751370</v>
      </c>
      <c r="I80" s="326">
        <f>SUM(I81:I83)</f>
        <v>1190000</v>
      </c>
      <c r="K80" s="85"/>
    </row>
    <row r="81" spans="1:16" s="87" customFormat="1" x14ac:dyDescent="0.2">
      <c r="A81" s="86"/>
      <c r="B81" s="124" t="s">
        <v>68</v>
      </c>
      <c r="C81" s="125" t="s">
        <v>214</v>
      </c>
      <c r="D81" s="110">
        <f>G81+H81+I81</f>
        <v>7500000</v>
      </c>
      <c r="E81" s="156"/>
      <c r="F81" s="157"/>
      <c r="G81" s="144">
        <f>7500000*2/5</f>
        <v>3000000</v>
      </c>
      <c r="H81" s="144">
        <f>7500000*3/5</f>
        <v>4500000</v>
      </c>
      <c r="I81" s="157"/>
      <c r="K81" s="85"/>
    </row>
    <row r="82" spans="1:16" s="86" customFormat="1" ht="24" x14ac:dyDescent="0.2">
      <c r="B82" s="124" t="s">
        <v>69</v>
      </c>
      <c r="C82" s="125" t="s">
        <v>215</v>
      </c>
      <c r="D82" s="110">
        <f>G82+H82+I82</f>
        <v>10119590</v>
      </c>
      <c r="E82" s="156"/>
      <c r="F82" s="157"/>
      <c r="G82" s="144">
        <f>0.65*(L82+M82+N82)*1000000*0.0017</f>
        <v>9463220</v>
      </c>
      <c r="H82" s="144">
        <f>0.65*(O82+P82)*1000000*0.0017</f>
        <v>656370</v>
      </c>
      <c r="I82" s="157"/>
      <c r="J82" s="87"/>
      <c r="K82" s="85"/>
      <c r="L82" s="86">
        <v>2990</v>
      </c>
      <c r="M82" s="86">
        <v>3006</v>
      </c>
      <c r="N82" s="86">
        <v>2568</v>
      </c>
      <c r="O82" s="86">
        <v>492</v>
      </c>
      <c r="P82" s="86">
        <v>102</v>
      </c>
    </row>
    <row r="83" spans="1:16" s="86" customFormat="1" ht="24.75" thickBot="1" x14ac:dyDescent="0.25">
      <c r="B83" s="124" t="s">
        <v>70</v>
      </c>
      <c r="C83" s="125" t="s">
        <v>216</v>
      </c>
      <c r="D83" s="110">
        <f>G83+H83+I83</f>
        <v>2261000</v>
      </c>
      <c r="E83" s="156"/>
      <c r="F83" s="157"/>
      <c r="G83" s="144">
        <f>4/5*350000000*0.0017</f>
        <v>476000</v>
      </c>
      <c r="H83" s="144">
        <f>350000000*0.0017</f>
        <v>595000</v>
      </c>
      <c r="I83" s="144">
        <f>10/5*350000000*0.0017</f>
        <v>1190000</v>
      </c>
      <c r="J83" s="87"/>
      <c r="K83" s="85"/>
      <c r="L83" s="86">
        <f>D83/0.0017/1000000</f>
        <v>1330</v>
      </c>
    </row>
    <row r="84" spans="1:16" s="86" customFormat="1" x14ac:dyDescent="0.2">
      <c r="B84" s="135" t="s">
        <v>110</v>
      </c>
      <c r="C84" s="136" t="s">
        <v>213</v>
      </c>
      <c r="D84" s="210">
        <f>SUM(D85:D86)</f>
        <v>1683000</v>
      </c>
      <c r="E84" s="156"/>
      <c r="F84" s="164"/>
      <c r="G84" s="208">
        <f>SUM(G85:G86)</f>
        <v>544000</v>
      </c>
      <c r="H84" s="208">
        <f>SUM(H85:H86)</f>
        <v>1139000</v>
      </c>
      <c r="I84" s="326">
        <f>SUM(I85:I86)</f>
        <v>0</v>
      </c>
      <c r="J84" s="87"/>
      <c r="K84" s="85"/>
    </row>
    <row r="85" spans="1:16" s="86" customFormat="1" ht="36" x14ac:dyDescent="0.2">
      <c r="B85" s="124" t="s">
        <v>71</v>
      </c>
      <c r="C85" s="125" t="s">
        <v>217</v>
      </c>
      <c r="D85" s="325">
        <f>G85+H85+I85</f>
        <v>595000</v>
      </c>
      <c r="E85" s="156"/>
      <c r="F85" s="157"/>
      <c r="G85" s="157"/>
      <c r="H85" s="144">
        <f>350000000*0.0017</f>
        <v>595000</v>
      </c>
      <c r="I85" s="157"/>
      <c r="J85" s="87"/>
    </row>
    <row r="86" spans="1:16" s="87" customFormat="1" ht="24.75" thickBot="1" x14ac:dyDescent="0.25">
      <c r="A86" s="86"/>
      <c r="B86" s="124" t="s">
        <v>72</v>
      </c>
      <c r="C86" s="125" t="s">
        <v>218</v>
      </c>
      <c r="D86" s="110">
        <f>G86+H86+I86</f>
        <v>1088000</v>
      </c>
      <c r="E86" s="156"/>
      <c r="F86" s="157"/>
      <c r="G86" s="144">
        <f>2/5*800000000*0.0017</f>
        <v>544000</v>
      </c>
      <c r="H86" s="144">
        <f>2/5*800000000*0.0017</f>
        <v>544000</v>
      </c>
      <c r="I86" s="157"/>
      <c r="K86" s="85"/>
    </row>
    <row r="87" spans="1:16" s="87" customFormat="1" ht="12.75" thickBot="1" x14ac:dyDescent="0.25">
      <c r="A87" s="86"/>
      <c r="B87" s="137" t="s">
        <v>94</v>
      </c>
      <c r="C87" s="138"/>
      <c r="D87" s="165">
        <f>D80+D84</f>
        <v>21563590</v>
      </c>
      <c r="E87" s="166"/>
      <c r="F87" s="167"/>
      <c r="G87" s="167">
        <f t="shared" ref="G87:I87" si="8">G80+G84</f>
        <v>13483220</v>
      </c>
      <c r="H87" s="167">
        <f t="shared" si="8"/>
        <v>6890370</v>
      </c>
      <c r="I87" s="167">
        <f t="shared" si="8"/>
        <v>1190000</v>
      </c>
      <c r="K87" s="85"/>
    </row>
    <row r="88" spans="1:16" ht="15" thickBot="1" x14ac:dyDescent="0.25">
      <c r="A88" s="342"/>
      <c r="B88" s="343"/>
      <c r="C88" s="225"/>
      <c r="D88" s="153"/>
      <c r="E88" s="226"/>
      <c r="F88" s="155"/>
      <c r="G88" s="155"/>
      <c r="H88" s="346"/>
      <c r="I88" s="346"/>
      <c r="K88" s="85"/>
      <c r="M88"/>
    </row>
    <row r="89" spans="1:16" ht="15" thickBot="1" x14ac:dyDescent="0.25">
      <c r="A89" s="82"/>
      <c r="B89" s="118" t="s">
        <v>88</v>
      </c>
      <c r="C89" s="91" t="s">
        <v>115</v>
      </c>
      <c r="D89" s="211" t="str">
        <f>D44</f>
        <v>Budget (USD)</v>
      </c>
      <c r="E89" s="93"/>
      <c r="F89" s="94" t="s">
        <v>0</v>
      </c>
      <c r="G89" s="90">
        <v>2025</v>
      </c>
      <c r="H89" s="90">
        <v>2030</v>
      </c>
      <c r="I89" s="90">
        <v>2040</v>
      </c>
      <c r="K89" s="85"/>
      <c r="M89"/>
    </row>
    <row r="90" spans="1:16" ht="14.25" x14ac:dyDescent="0.2">
      <c r="A90" s="82"/>
      <c r="B90" s="236" t="s">
        <v>95</v>
      </c>
      <c r="C90" s="401" t="s">
        <v>123</v>
      </c>
      <c r="D90" s="237">
        <f>SUM(G90:I90)</f>
        <v>24390000</v>
      </c>
      <c r="E90" s="213"/>
      <c r="F90" s="238">
        <v>0</v>
      </c>
      <c r="G90" s="239">
        <f>G92+G99</f>
        <v>10641000</v>
      </c>
      <c r="H90" s="239">
        <f>H92+H99</f>
        <v>13613000</v>
      </c>
      <c r="I90" s="327">
        <f>I92+I99</f>
        <v>136000</v>
      </c>
      <c r="K90" s="85"/>
      <c r="M90"/>
    </row>
    <row r="91" spans="1:16" ht="15" thickBot="1" x14ac:dyDescent="0.25">
      <c r="A91" s="82"/>
      <c r="B91" s="240"/>
      <c r="C91" s="402"/>
      <c r="D91" s="241"/>
      <c r="E91" s="213"/>
      <c r="F91" s="242">
        <v>0</v>
      </c>
      <c r="G91" s="243">
        <f>G90/$D90</f>
        <v>0.43628536285362851</v>
      </c>
      <c r="H91" s="243">
        <f>H90/$D90</f>
        <v>0.55813858138581385</v>
      </c>
      <c r="I91" s="243">
        <f>I90/$D90</f>
        <v>5.5760557605576055E-3</v>
      </c>
      <c r="K91" s="85"/>
      <c r="M91"/>
    </row>
    <row r="92" spans="1:16" ht="14.25" x14ac:dyDescent="0.2">
      <c r="A92" s="82"/>
      <c r="B92" s="244" t="s">
        <v>111</v>
      </c>
      <c r="C92" s="245" t="s">
        <v>219</v>
      </c>
      <c r="D92" s="246">
        <f>SUM(D93:D98)</f>
        <v>22605000</v>
      </c>
      <c r="E92" s="248"/>
      <c r="F92" s="196"/>
      <c r="G92" s="247">
        <f>SUM(G93:G98)</f>
        <v>9570000</v>
      </c>
      <c r="H92" s="247">
        <f>SUM(H93:H98)</f>
        <v>12899000</v>
      </c>
      <c r="I92" s="247">
        <f>SUM(I93:I98)</f>
        <v>136000</v>
      </c>
      <c r="K92" s="85"/>
      <c r="M92" s="255"/>
    </row>
    <row r="93" spans="1:16" ht="24" x14ac:dyDescent="0.2">
      <c r="A93" s="82"/>
      <c r="B93" s="191" t="s">
        <v>73</v>
      </c>
      <c r="C93" s="192" t="s">
        <v>220</v>
      </c>
      <c r="D93" s="201">
        <f>G93+H93+I93</f>
        <v>5000000</v>
      </c>
      <c r="E93" s="202"/>
      <c r="F93" s="179"/>
      <c r="G93" s="144">
        <f>3/5*5000000</f>
        <v>3000000</v>
      </c>
      <c r="H93" s="144">
        <f>2/5*5000000</f>
        <v>2000000</v>
      </c>
      <c r="I93" s="193"/>
      <c r="K93" s="85"/>
      <c r="M93" s="255"/>
    </row>
    <row r="94" spans="1:16" ht="24" x14ac:dyDescent="0.2">
      <c r="A94" s="82"/>
      <c r="B94" s="191" t="s">
        <v>74</v>
      </c>
      <c r="C94" s="192" t="s">
        <v>221</v>
      </c>
      <c r="D94" s="201">
        <f>G94+H94+I94</f>
        <v>5000000</v>
      </c>
      <c r="E94" s="202"/>
      <c r="F94" s="179"/>
      <c r="G94" s="144">
        <f>3/5*5000000</f>
        <v>3000000</v>
      </c>
      <c r="H94" s="144">
        <f>2/5*5000000</f>
        <v>2000000</v>
      </c>
      <c r="I94" s="193"/>
      <c r="K94" s="85"/>
      <c r="M94"/>
    </row>
    <row r="95" spans="1:16" ht="24" x14ac:dyDescent="0.2">
      <c r="A95" s="82"/>
      <c r="B95" s="191" t="s">
        <v>75</v>
      </c>
      <c r="C95" s="192" t="s">
        <v>222</v>
      </c>
      <c r="D95" s="110">
        <f t="shared" ref="D95" si="9">G95+H95+I95</f>
        <v>3000000</v>
      </c>
      <c r="E95" s="190"/>
      <c r="F95" s="193"/>
      <c r="G95" s="193"/>
      <c r="H95" s="144">
        <v>3000000</v>
      </c>
      <c r="I95" s="193"/>
      <c r="K95" s="85"/>
      <c r="M95"/>
    </row>
    <row r="96" spans="1:16" ht="36" x14ac:dyDescent="0.2">
      <c r="A96" s="82"/>
      <c r="B96" s="191" t="s">
        <v>76</v>
      </c>
      <c r="C96" s="229" t="s">
        <v>223</v>
      </c>
      <c r="D96" s="110">
        <f>G96+H96+I96</f>
        <v>425000</v>
      </c>
      <c r="E96" s="190"/>
      <c r="F96" s="193"/>
      <c r="G96" s="144">
        <f>2/5*250000000*0.0017</f>
        <v>170000</v>
      </c>
      <c r="H96" s="144">
        <f>3/5*250000000*0.0017</f>
        <v>255000</v>
      </c>
      <c r="I96" s="193"/>
      <c r="K96" s="85"/>
      <c r="M96"/>
    </row>
    <row r="97" spans="1:16" ht="48" x14ac:dyDescent="0.2">
      <c r="A97" s="82"/>
      <c r="B97" s="191" t="s">
        <v>77</v>
      </c>
      <c r="C97" s="192" t="s">
        <v>224</v>
      </c>
      <c r="D97" s="110">
        <f>G97+H97+I97</f>
        <v>680000</v>
      </c>
      <c r="E97" s="190"/>
      <c r="F97" s="193"/>
      <c r="G97" s="193"/>
      <c r="H97" s="144">
        <f>4/5*400000000*0.0017</f>
        <v>544000</v>
      </c>
      <c r="I97" s="144">
        <f>1/5*400000000*0.0017</f>
        <v>136000</v>
      </c>
      <c r="K97" s="85"/>
      <c r="M97"/>
    </row>
    <row r="98" spans="1:16" ht="24.75" thickBot="1" x14ac:dyDescent="0.25">
      <c r="A98" s="82"/>
      <c r="B98" s="191" t="s">
        <v>78</v>
      </c>
      <c r="C98" s="192" t="s">
        <v>225</v>
      </c>
      <c r="D98" s="201">
        <f>G98+H98+I98</f>
        <v>8500000</v>
      </c>
      <c r="E98" s="202"/>
      <c r="F98" s="179"/>
      <c r="G98" s="144">
        <f>2/5*8500000</f>
        <v>3400000</v>
      </c>
      <c r="H98" s="144">
        <f>3/5*8500000</f>
        <v>5100000</v>
      </c>
      <c r="I98" s="193"/>
      <c r="K98" s="85"/>
    </row>
    <row r="99" spans="1:16" x14ac:dyDescent="0.2">
      <c r="A99" s="82"/>
      <c r="B99" s="249" t="s">
        <v>112</v>
      </c>
      <c r="C99" s="250" t="s">
        <v>226</v>
      </c>
      <c r="D99" s="246">
        <f>SUM(D100:D101)</f>
        <v>1785000</v>
      </c>
      <c r="E99" s="190"/>
      <c r="F99" s="158"/>
      <c r="G99" s="247">
        <f>SUM(G100:G101)</f>
        <v>1071000</v>
      </c>
      <c r="H99" s="247">
        <f>SUM(H100:H101)</f>
        <v>714000</v>
      </c>
      <c r="I99" s="247">
        <f>SUM(I100:I101)</f>
        <v>0</v>
      </c>
      <c r="K99" s="85"/>
    </row>
    <row r="100" spans="1:16" ht="36" x14ac:dyDescent="0.2">
      <c r="A100" s="82"/>
      <c r="B100" s="191" t="s">
        <v>79</v>
      </c>
      <c r="C100" s="192" t="s">
        <v>227</v>
      </c>
      <c r="D100" s="110">
        <f>G100+H100+I100</f>
        <v>425000</v>
      </c>
      <c r="E100" s="190"/>
      <c r="F100" s="193"/>
      <c r="G100" s="144">
        <f>3/5*250000000*0.0017</f>
        <v>255000</v>
      </c>
      <c r="H100" s="144">
        <f>2/5*250000000*0.0017</f>
        <v>170000</v>
      </c>
      <c r="I100" s="193"/>
      <c r="K100" s="85"/>
    </row>
    <row r="101" spans="1:16" ht="48.75" thickBot="1" x14ac:dyDescent="0.25">
      <c r="A101" s="82"/>
      <c r="B101" s="191" t="s">
        <v>80</v>
      </c>
      <c r="C101" s="192" t="s">
        <v>228</v>
      </c>
      <c r="D101" s="110">
        <f>G101+H101+I101</f>
        <v>1360000</v>
      </c>
      <c r="E101" s="190"/>
      <c r="F101" s="193"/>
      <c r="G101" s="144">
        <f>3/5*800000000*0.0017</f>
        <v>816000</v>
      </c>
      <c r="H101" s="144">
        <f>2/5*800000000*0.0017</f>
        <v>544000</v>
      </c>
      <c r="I101" s="193"/>
      <c r="K101" s="85"/>
      <c r="L101"/>
      <c r="M101"/>
      <c r="N101"/>
      <c r="O101"/>
      <c r="P101"/>
    </row>
    <row r="102" spans="1:16" ht="15" thickBot="1" x14ac:dyDescent="0.25">
      <c r="A102" s="82"/>
      <c r="B102" s="251" t="s">
        <v>96</v>
      </c>
      <c r="C102" s="252"/>
      <c r="D102" s="253">
        <f>D92+D99</f>
        <v>24390000</v>
      </c>
      <c r="E102" s="230"/>
      <c r="F102" s="160"/>
      <c r="G102" s="254">
        <f t="shared" ref="G102:I102" si="10">G92+G99</f>
        <v>10641000</v>
      </c>
      <c r="H102" s="254">
        <f t="shared" si="10"/>
        <v>13613000</v>
      </c>
      <c r="I102" s="254">
        <f t="shared" si="10"/>
        <v>136000</v>
      </c>
      <c r="K102" s="85"/>
      <c r="L102"/>
      <c r="M102"/>
      <c r="N102"/>
      <c r="O102"/>
      <c r="P102"/>
    </row>
    <row r="103" spans="1:16" ht="15" thickBot="1" x14ac:dyDescent="0.25">
      <c r="A103" s="342"/>
      <c r="B103" s="343"/>
      <c r="C103" s="117"/>
      <c r="D103" s="161"/>
      <c r="E103" s="347"/>
      <c r="F103" s="162"/>
      <c r="G103" s="162"/>
      <c r="H103" s="162"/>
      <c r="I103" s="162"/>
      <c r="J103" s="342"/>
      <c r="K103" s="345"/>
      <c r="L103" s="348"/>
      <c r="M103"/>
      <c r="N103"/>
      <c r="O103"/>
      <c r="P103"/>
    </row>
    <row r="104" spans="1:16" s="87" customFormat="1" ht="15" thickBot="1" x14ac:dyDescent="0.25">
      <c r="B104" s="118" t="s">
        <v>88</v>
      </c>
      <c r="C104" s="91" t="s">
        <v>115</v>
      </c>
      <c r="D104" s="211" t="str">
        <f>D89</f>
        <v>Budget (USD)</v>
      </c>
      <c r="E104" s="234"/>
      <c r="F104" s="211" t="s">
        <v>0</v>
      </c>
      <c r="G104" s="90">
        <v>2025</v>
      </c>
      <c r="H104" s="90">
        <v>2030</v>
      </c>
      <c r="I104" s="90">
        <v>2040</v>
      </c>
      <c r="K104" s="85"/>
      <c r="L104"/>
      <c r="M104"/>
      <c r="N104"/>
      <c r="O104"/>
      <c r="P104"/>
    </row>
    <row r="105" spans="1:16" s="87" customFormat="1" ht="14.25" x14ac:dyDescent="0.2">
      <c r="B105" s="256" t="s">
        <v>97</v>
      </c>
      <c r="C105" s="392" t="s">
        <v>124</v>
      </c>
      <c r="D105" s="257">
        <f>D107+D114</f>
        <v>40500000</v>
      </c>
      <c r="E105" s="227"/>
      <c r="F105" s="222"/>
      <c r="G105" s="260">
        <f>G107+G114</f>
        <v>11477000</v>
      </c>
      <c r="H105" s="260">
        <f>H107+H114</f>
        <v>17693000</v>
      </c>
      <c r="I105" s="260">
        <f>I107+I114</f>
        <v>11330000</v>
      </c>
      <c r="K105" s="85"/>
      <c r="L105"/>
      <c r="M105"/>
      <c r="N105"/>
      <c r="O105"/>
      <c r="P105"/>
    </row>
    <row r="106" spans="1:16" s="87" customFormat="1" ht="15" thickBot="1" x14ac:dyDescent="0.25">
      <c r="B106" s="258"/>
      <c r="C106" s="393"/>
      <c r="D106" s="259"/>
      <c r="E106" s="227"/>
      <c r="F106" s="224">
        <v>0</v>
      </c>
      <c r="G106" s="261">
        <f>G105/$D105</f>
        <v>0.2833827160493827</v>
      </c>
      <c r="H106" s="261">
        <f>H105/$D105</f>
        <v>0.4368641975308642</v>
      </c>
      <c r="I106" s="308">
        <f>I105/$D105</f>
        <v>0.27975308641975311</v>
      </c>
      <c r="K106" s="85"/>
      <c r="L106"/>
      <c r="M106"/>
      <c r="N106"/>
      <c r="O106"/>
      <c r="P106"/>
    </row>
    <row r="107" spans="1:16" s="87" customFormat="1" ht="14.25" x14ac:dyDescent="0.2">
      <c r="B107" s="266" t="s">
        <v>113</v>
      </c>
      <c r="C107" s="267" t="s">
        <v>229</v>
      </c>
      <c r="D107" s="268">
        <f>SUM(D108:D113)</f>
        <v>24350000</v>
      </c>
      <c r="E107" s="228"/>
      <c r="F107" s="163"/>
      <c r="G107" s="269">
        <f>SUM(G108:G113)</f>
        <v>6377000</v>
      </c>
      <c r="H107" s="269">
        <f>SUM(H108:H113)</f>
        <v>12593000</v>
      </c>
      <c r="I107" s="310">
        <f>SUM(I108:I113)</f>
        <v>5380000</v>
      </c>
      <c r="K107" s="85"/>
      <c r="L107"/>
      <c r="M107"/>
      <c r="N107"/>
      <c r="O107"/>
      <c r="P107"/>
    </row>
    <row r="108" spans="1:16" s="87" customFormat="1" ht="24" x14ac:dyDescent="0.2">
      <c r="B108" s="191" t="s">
        <v>81</v>
      </c>
      <c r="C108" s="192" t="s">
        <v>231</v>
      </c>
      <c r="D108" s="307">
        <f>G108+H108+I108</f>
        <v>15000000</v>
      </c>
      <c r="E108" s="190"/>
      <c r="F108" s="193"/>
      <c r="G108" s="144">
        <f>5000000</f>
        <v>5000000</v>
      </c>
      <c r="H108" s="144">
        <f>7000000</f>
        <v>7000000</v>
      </c>
      <c r="I108" s="144">
        <f>3000000</f>
        <v>3000000</v>
      </c>
      <c r="K108" s="85"/>
      <c r="M108"/>
      <c r="N108"/>
      <c r="O108"/>
      <c r="P108"/>
    </row>
    <row r="109" spans="1:16" s="87" customFormat="1" ht="14.25" x14ac:dyDescent="0.2">
      <c r="B109" s="191" t="s">
        <v>82</v>
      </c>
      <c r="C109" s="192" t="s">
        <v>232</v>
      </c>
      <c r="D109" s="307">
        <f t="shared" ref="D109:D110" si="11">G109+H109+I109</f>
        <v>595000</v>
      </c>
      <c r="E109" s="190"/>
      <c r="F109" s="193"/>
      <c r="G109" s="144">
        <f>3/5*350000000*0.0017</f>
        <v>357000</v>
      </c>
      <c r="H109" s="144">
        <f>2/5*350000000*0.0017</f>
        <v>238000</v>
      </c>
      <c r="I109" s="309"/>
      <c r="K109" s="85"/>
      <c r="L109"/>
      <c r="M109"/>
      <c r="N109"/>
      <c r="O109"/>
      <c r="P109"/>
    </row>
    <row r="110" spans="1:16" s="87" customFormat="1" ht="24" x14ac:dyDescent="0.2">
      <c r="B110" s="191" t="s">
        <v>83</v>
      </c>
      <c r="C110" s="192" t="s">
        <v>233</v>
      </c>
      <c r="D110" s="307">
        <f t="shared" si="11"/>
        <v>1105000</v>
      </c>
      <c r="E110" s="190"/>
      <c r="F110" s="193"/>
      <c r="G110" s="144"/>
      <c r="H110" s="144">
        <f>650000000*0.0017</f>
        <v>1105000</v>
      </c>
      <c r="I110" s="193"/>
      <c r="K110" s="85"/>
      <c r="L110"/>
      <c r="M110"/>
      <c r="N110"/>
      <c r="O110"/>
      <c r="P110"/>
    </row>
    <row r="111" spans="1:16" s="87" customFormat="1" ht="14.25" x14ac:dyDescent="0.2">
      <c r="B111" s="191" t="s">
        <v>84</v>
      </c>
      <c r="C111" s="192" t="s">
        <v>234</v>
      </c>
      <c r="D111" s="307">
        <f>G111+H111+I111</f>
        <v>3400000</v>
      </c>
      <c r="E111" s="190"/>
      <c r="F111" s="193"/>
      <c r="G111" s="193"/>
      <c r="H111" s="144">
        <f>3/5*2*1000000000*0.0017</f>
        <v>2040000</v>
      </c>
      <c r="I111" s="144">
        <f>2/5*2*1000000000*0.0017</f>
        <v>1360000</v>
      </c>
      <c r="K111" s="85"/>
      <c r="L111"/>
      <c r="M111"/>
      <c r="N111"/>
      <c r="O111"/>
      <c r="P111"/>
    </row>
    <row r="112" spans="1:16" s="87" customFormat="1" ht="24" x14ac:dyDescent="0.2">
      <c r="B112" s="191" t="s">
        <v>85</v>
      </c>
      <c r="C112" s="229" t="s">
        <v>235</v>
      </c>
      <c r="D112" s="307">
        <f>G112+H112+I112</f>
        <v>850000</v>
      </c>
      <c r="E112" s="190"/>
      <c r="F112" s="193"/>
      <c r="G112" s="144">
        <f>2/5*500*1000000*0.0017</f>
        <v>340000</v>
      </c>
      <c r="H112" s="144">
        <f>3/5*500*1000000*0.0017</f>
        <v>510000</v>
      </c>
      <c r="I112" s="193"/>
      <c r="K112" s="85"/>
      <c r="L112"/>
      <c r="M112"/>
      <c r="N112"/>
      <c r="O112"/>
      <c r="P112"/>
    </row>
    <row r="113" spans="2:12" s="87" customFormat="1" ht="12.75" thickBot="1" x14ac:dyDescent="0.25">
      <c r="B113" s="191" t="s">
        <v>86</v>
      </c>
      <c r="C113" s="192" t="s">
        <v>236</v>
      </c>
      <c r="D113" s="307">
        <f t="shared" ref="D113" si="12">G113+H113+I113</f>
        <v>3400000</v>
      </c>
      <c r="E113" s="190"/>
      <c r="F113" s="193"/>
      <c r="G113" s="144">
        <f>2/10*4*500000000*0.0017</f>
        <v>680000</v>
      </c>
      <c r="H113" s="144">
        <f>5/10*4*500000000*0.0017</f>
        <v>1700000</v>
      </c>
      <c r="I113" s="144">
        <f>3/10*4*500000000*0.0017</f>
        <v>1020000</v>
      </c>
      <c r="K113" s="85"/>
      <c r="L113" s="144">
        <f>2/100*D5</f>
        <v>21118225.150000002</v>
      </c>
    </row>
    <row r="114" spans="2:12" s="87" customFormat="1" x14ac:dyDescent="0.2">
      <c r="B114" s="271" t="s">
        <v>114</v>
      </c>
      <c r="C114" s="270" t="s">
        <v>230</v>
      </c>
      <c r="D114" s="272">
        <f>D115</f>
        <v>16150000</v>
      </c>
      <c r="E114" s="190"/>
      <c r="F114" s="164"/>
      <c r="G114" s="310">
        <f>SUM(G115:G115)</f>
        <v>5100000</v>
      </c>
      <c r="H114" s="311">
        <f>SUM(H115:H115)</f>
        <v>5100000</v>
      </c>
      <c r="I114" s="311">
        <f>SUM(I115:I115)</f>
        <v>5950000</v>
      </c>
      <c r="K114" s="85"/>
    </row>
    <row r="115" spans="2:12" s="87" customFormat="1" ht="12.75" thickBot="1" x14ac:dyDescent="0.25">
      <c r="B115" s="191" t="s">
        <v>87</v>
      </c>
      <c r="C115" s="192" t="s">
        <v>237</v>
      </c>
      <c r="D115" s="201">
        <f>G115+H115+I115</f>
        <v>16150000</v>
      </c>
      <c r="E115" s="190"/>
      <c r="F115" s="193"/>
      <c r="G115" s="144">
        <f>4*750000000*0.0017</f>
        <v>5100000</v>
      </c>
      <c r="H115" s="144">
        <f>5*600000000*0.0017</f>
        <v>5100000</v>
      </c>
      <c r="I115" s="144">
        <f>10*350000000*0.0017</f>
        <v>5950000</v>
      </c>
      <c r="K115" s="85"/>
    </row>
    <row r="116" spans="2:12" s="87" customFormat="1" ht="12.75" thickBot="1" x14ac:dyDescent="0.25">
      <c r="B116" s="262" t="s">
        <v>98</v>
      </c>
      <c r="C116" s="263"/>
      <c r="D116" s="264">
        <f>D107+D114</f>
        <v>40500000</v>
      </c>
      <c r="E116" s="235"/>
      <c r="F116" s="167"/>
      <c r="G116" s="265">
        <f t="shared" ref="G116:I116" si="13">G107+G114</f>
        <v>11477000</v>
      </c>
      <c r="H116" s="265">
        <f t="shared" si="13"/>
        <v>17693000</v>
      </c>
      <c r="I116" s="265">
        <f t="shared" si="13"/>
        <v>11330000</v>
      </c>
      <c r="K116" s="85"/>
    </row>
    <row r="117" spans="2:12" ht="12.75" thickBot="1" x14ac:dyDescent="0.25">
      <c r="B117" s="139" t="s">
        <v>238</v>
      </c>
      <c r="C117" s="140"/>
      <c r="D117" s="334">
        <f>SUM(D5+D45+D78+D90+D105)</f>
        <v>1538572409.8333335</v>
      </c>
      <c r="E117" s="168"/>
      <c r="F117" s="169"/>
      <c r="G117" s="335">
        <f>SUM(G5+G45+G78+G90+G105)</f>
        <v>534445309.83333337</v>
      </c>
      <c r="H117" s="336">
        <f>SUM(H5+H45+H78+H90+H105)</f>
        <v>621142100</v>
      </c>
      <c r="I117" s="337">
        <f>SUM(I5+I45+I78+I90+I105)</f>
        <v>382985000</v>
      </c>
      <c r="K117" s="85"/>
    </row>
  </sheetData>
  <mergeCells count="6">
    <mergeCell ref="C90:C91"/>
    <mergeCell ref="C105:C106"/>
    <mergeCell ref="B3:C3"/>
    <mergeCell ref="C5:C6"/>
    <mergeCell ref="C45:C46"/>
    <mergeCell ref="C78:C79"/>
  </mergeCells>
  <phoneticPr fontId="14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T51"/>
  <sheetViews>
    <sheetView topLeftCell="A7" workbookViewId="0">
      <selection activeCell="E20" sqref="E20:G20"/>
    </sheetView>
  </sheetViews>
  <sheetFormatPr baseColWidth="10" defaultColWidth="8.75" defaultRowHeight="14.25" x14ac:dyDescent="0.2"/>
  <cols>
    <col min="8" max="9" width="9.625" bestFit="1" customWidth="1"/>
  </cols>
  <sheetData>
    <row r="4" spans="4:20" x14ac:dyDescent="0.2">
      <c r="J4" t="s">
        <v>3</v>
      </c>
      <c r="P4" t="s">
        <v>4</v>
      </c>
    </row>
    <row r="6" spans="4:20" x14ac:dyDescent="0.2">
      <c r="D6">
        <v>20</v>
      </c>
      <c r="E6">
        <v>0</v>
      </c>
      <c r="F6">
        <v>0</v>
      </c>
      <c r="G6">
        <v>0</v>
      </c>
      <c r="H6">
        <v>0</v>
      </c>
      <c r="J6">
        <v>600</v>
      </c>
      <c r="K6">
        <v>600</v>
      </c>
      <c r="L6">
        <v>600</v>
      </c>
      <c r="M6">
        <v>600</v>
      </c>
      <c r="N6">
        <v>600</v>
      </c>
      <c r="P6">
        <v>400</v>
      </c>
      <c r="Q6">
        <v>800</v>
      </c>
      <c r="R6">
        <v>720</v>
      </c>
      <c r="S6">
        <v>0</v>
      </c>
      <c r="T6">
        <v>0</v>
      </c>
    </row>
    <row r="7" spans="4:20" x14ac:dyDescent="0.2">
      <c r="D7">
        <v>5</v>
      </c>
      <c r="E7">
        <v>5</v>
      </c>
      <c r="F7">
        <v>5</v>
      </c>
      <c r="G7">
        <v>5</v>
      </c>
      <c r="H7">
        <v>5</v>
      </c>
      <c r="J7">
        <v>500</v>
      </c>
      <c r="K7">
        <v>500</v>
      </c>
      <c r="L7">
        <v>500</v>
      </c>
      <c r="M7">
        <v>500</v>
      </c>
      <c r="N7">
        <v>500</v>
      </c>
      <c r="P7">
        <v>100</v>
      </c>
      <c r="Q7">
        <v>200</v>
      </c>
      <c r="R7">
        <v>180</v>
      </c>
      <c r="S7">
        <v>0</v>
      </c>
      <c r="T7">
        <v>0</v>
      </c>
    </row>
    <row r="8" spans="4:20" x14ac:dyDescent="0.2">
      <c r="D8">
        <v>224</v>
      </c>
      <c r="E8">
        <v>204</v>
      </c>
      <c r="F8">
        <v>102</v>
      </c>
      <c r="G8">
        <v>102</v>
      </c>
      <c r="H8">
        <v>102</v>
      </c>
      <c r="J8">
        <v>500</v>
      </c>
      <c r="K8">
        <v>500</v>
      </c>
      <c r="L8">
        <v>500</v>
      </c>
      <c r="M8">
        <v>500</v>
      </c>
      <c r="N8">
        <v>500</v>
      </c>
      <c r="P8">
        <v>2080</v>
      </c>
      <c r="Q8">
        <v>1590</v>
      </c>
      <c r="R8">
        <v>1240</v>
      </c>
      <c r="S8">
        <v>390</v>
      </c>
      <c r="T8">
        <v>0</v>
      </c>
    </row>
    <row r="9" spans="4:20" x14ac:dyDescent="0.2">
      <c r="D9">
        <v>30</v>
      </c>
      <c r="E9">
        <v>0</v>
      </c>
      <c r="F9">
        <v>0</v>
      </c>
      <c r="G9">
        <v>0</v>
      </c>
      <c r="H9">
        <v>0</v>
      </c>
      <c r="J9">
        <v>25</v>
      </c>
      <c r="K9">
        <v>25</v>
      </c>
      <c r="L9">
        <v>25</v>
      </c>
      <c r="M9">
        <v>25</v>
      </c>
      <c r="N9">
        <v>25</v>
      </c>
      <c r="P9">
        <v>200</v>
      </c>
      <c r="Q9">
        <v>200</v>
      </c>
      <c r="R9">
        <v>180</v>
      </c>
      <c r="S9">
        <v>0</v>
      </c>
      <c r="T9">
        <v>0</v>
      </c>
    </row>
    <row r="10" spans="4:20" x14ac:dyDescent="0.2">
      <c r="D10">
        <v>0</v>
      </c>
      <c r="E10">
        <v>30</v>
      </c>
      <c r="F10">
        <v>40</v>
      </c>
      <c r="G10">
        <v>50</v>
      </c>
      <c r="H10">
        <v>60</v>
      </c>
      <c r="P10">
        <v>40</v>
      </c>
      <c r="Q10">
        <v>80</v>
      </c>
      <c r="R10">
        <v>112</v>
      </c>
      <c r="S10">
        <v>0</v>
      </c>
      <c r="T10">
        <v>0</v>
      </c>
    </row>
    <row r="11" spans="4:20" x14ac:dyDescent="0.2">
      <c r="D11">
        <v>5</v>
      </c>
      <c r="E11">
        <v>5</v>
      </c>
      <c r="F11">
        <v>5</v>
      </c>
      <c r="G11">
        <v>5</v>
      </c>
      <c r="H11">
        <v>5</v>
      </c>
      <c r="P11">
        <v>170</v>
      </c>
      <c r="Q11">
        <v>136</v>
      </c>
      <c r="R11">
        <v>136</v>
      </c>
      <c r="S11">
        <v>102</v>
      </c>
      <c r="T11">
        <v>102</v>
      </c>
    </row>
    <row r="12" spans="4:20" x14ac:dyDescent="0.2">
      <c r="D12">
        <v>50</v>
      </c>
      <c r="E12">
        <v>40</v>
      </c>
      <c r="F12">
        <v>30</v>
      </c>
      <c r="G12">
        <v>20</v>
      </c>
      <c r="H12">
        <v>10</v>
      </c>
    </row>
    <row r="13" spans="4:20" ht="15" x14ac:dyDescent="0.25">
      <c r="D13" s="195">
        <f>SUM(D6:D12)</f>
        <v>334</v>
      </c>
      <c r="E13" s="195">
        <f>SUM(E6:E12)</f>
        <v>284</v>
      </c>
      <c r="F13" s="195">
        <f>SUM(F6:F12)</f>
        <v>182</v>
      </c>
      <c r="G13" s="195">
        <f>SUM(G6:G12)</f>
        <v>182</v>
      </c>
      <c r="H13" s="195">
        <f>SUM(H6:H12)</f>
        <v>182</v>
      </c>
      <c r="J13" s="195">
        <f>SUM(J6:J12)</f>
        <v>1625</v>
      </c>
      <c r="K13" s="195">
        <f>SUM(K6:K12)</f>
        <v>1625</v>
      </c>
      <c r="L13" s="195">
        <f>SUM(L6:L12)</f>
        <v>1625</v>
      </c>
      <c r="M13" s="195">
        <f>SUM(M6:M12)</f>
        <v>1625</v>
      </c>
      <c r="N13" s="195">
        <f>SUM(N6:N12)</f>
        <v>1625</v>
      </c>
      <c r="P13" s="195">
        <f>SUM(P6:P12)</f>
        <v>2990</v>
      </c>
      <c r="Q13" s="195">
        <f>SUM(Q6:Q12)</f>
        <v>3006</v>
      </c>
      <c r="R13" s="195">
        <f>SUM(R6:R12)</f>
        <v>2568</v>
      </c>
      <c r="S13" s="195">
        <f>SUM(S6:S12)</f>
        <v>492</v>
      </c>
      <c r="T13" s="195">
        <f>SUM(T6:T12)</f>
        <v>102</v>
      </c>
    </row>
    <row r="15" spans="4:20" x14ac:dyDescent="0.2">
      <c r="E15">
        <v>2025</v>
      </c>
      <c r="F15">
        <v>2030</v>
      </c>
      <c r="G15">
        <v>2040</v>
      </c>
    </row>
    <row r="16" spans="4:20" x14ac:dyDescent="0.2">
      <c r="D16">
        <v>900</v>
      </c>
      <c r="E16">
        <v>4000</v>
      </c>
      <c r="F16">
        <v>10000</v>
      </c>
      <c r="G16">
        <v>17000</v>
      </c>
    </row>
    <row r="17" spans="2:10" x14ac:dyDescent="0.2">
      <c r="D17" s="322">
        <v>200</v>
      </c>
      <c r="E17" s="322">
        <v>1000</v>
      </c>
      <c r="F17" s="322">
        <v>2500</v>
      </c>
      <c r="G17" s="322">
        <v>5000</v>
      </c>
    </row>
    <row r="18" spans="2:10" x14ac:dyDescent="0.2">
      <c r="D18" s="322">
        <v>700</v>
      </c>
      <c r="E18" s="322">
        <v>3000</v>
      </c>
      <c r="F18" s="322">
        <v>7500</v>
      </c>
      <c r="G18" s="322">
        <v>12000</v>
      </c>
    </row>
    <row r="19" spans="2:10" x14ac:dyDescent="0.2">
      <c r="E19">
        <f>E16-D16</f>
        <v>3100</v>
      </c>
      <c r="F19">
        <f>F16-E16</f>
        <v>6000</v>
      </c>
      <c r="G19">
        <f>G16-F16</f>
        <v>7000</v>
      </c>
      <c r="H19">
        <f>SUM(E19:G19)</f>
        <v>16100</v>
      </c>
      <c r="I19">
        <f>H19*9900</f>
        <v>159390000</v>
      </c>
      <c r="J19">
        <f>I19/H19</f>
        <v>9900</v>
      </c>
    </row>
    <row r="20" spans="2:10" x14ac:dyDescent="0.2">
      <c r="E20">
        <f>CEILING(E19*9900,1)</f>
        <v>30690000</v>
      </c>
      <c r="F20">
        <f t="shared" ref="F20:G20" si="0">CEILING(F19*9900,1)</f>
        <v>59400000</v>
      </c>
      <c r="G20">
        <f t="shared" si="0"/>
        <v>69300000</v>
      </c>
      <c r="H20">
        <f>SUM(E20:G20)</f>
        <v>159390000</v>
      </c>
    </row>
    <row r="22" spans="2:10" x14ac:dyDescent="0.2">
      <c r="F22">
        <v>2025</v>
      </c>
      <c r="G22">
        <v>2030</v>
      </c>
      <c r="H22">
        <v>2040</v>
      </c>
    </row>
    <row r="23" spans="2:10" x14ac:dyDescent="0.2">
      <c r="B23" t="s">
        <v>5</v>
      </c>
      <c r="D23">
        <v>1755.4</v>
      </c>
      <c r="E23">
        <v>600</v>
      </c>
      <c r="F23">
        <v>1500</v>
      </c>
      <c r="G23">
        <v>4900</v>
      </c>
      <c r="H23">
        <v>10500</v>
      </c>
    </row>
    <row r="24" spans="2:10" x14ac:dyDescent="0.2">
      <c r="C24" t="s">
        <v>6</v>
      </c>
      <c r="D24">
        <v>1271.2</v>
      </c>
      <c r="E24">
        <v>400</v>
      </c>
      <c r="F24">
        <v>1000</v>
      </c>
      <c r="G24">
        <v>3500</v>
      </c>
      <c r="H24">
        <v>8000</v>
      </c>
    </row>
    <row r="25" spans="2:10" x14ac:dyDescent="0.2">
      <c r="C25" t="s">
        <v>7</v>
      </c>
      <c r="D25">
        <v>484.2</v>
      </c>
      <c r="E25">
        <v>200</v>
      </c>
      <c r="F25">
        <v>500</v>
      </c>
      <c r="G25">
        <v>1400</v>
      </c>
      <c r="H25">
        <v>2500</v>
      </c>
    </row>
    <row r="26" spans="2:10" x14ac:dyDescent="0.2">
      <c r="F26">
        <f>F23-E23</f>
        <v>900</v>
      </c>
      <c r="G26">
        <f>G23-F23</f>
        <v>3400</v>
      </c>
      <c r="H26">
        <f>H23-G23</f>
        <v>5600</v>
      </c>
      <c r="I26">
        <f>SUM(F26:H26)</f>
        <v>9900</v>
      </c>
    </row>
    <row r="27" spans="2:10" x14ac:dyDescent="0.2">
      <c r="F27">
        <f>F26*369814107/39386</f>
        <v>8450533.0904382262</v>
      </c>
      <c r="G27">
        <f t="shared" ref="G27:H27" si="1">G26*369814107/39386</f>
        <v>31924236.119433302</v>
      </c>
      <c r="H27">
        <f t="shared" si="1"/>
        <v>52581094.784948967</v>
      </c>
    </row>
    <row r="28" spans="2:10" x14ac:dyDescent="0.2">
      <c r="F28">
        <f>F27/F26</f>
        <v>9389.4812115980294</v>
      </c>
      <c r="G28">
        <f t="shared" ref="G28:H28" si="2">G27/G26</f>
        <v>9389.4812115980294</v>
      </c>
      <c r="H28">
        <f t="shared" si="2"/>
        <v>9389.4812115980294</v>
      </c>
      <c r="I28" t="s">
        <v>9</v>
      </c>
    </row>
    <row r="29" spans="2:10" x14ac:dyDescent="0.2">
      <c r="F29">
        <f>CEILING(F27*1.13,1000)</f>
        <v>9550000</v>
      </c>
      <c r="G29">
        <f t="shared" ref="G29:H29" si="3">CEILING(G27*1.13,1000)</f>
        <v>36075000</v>
      </c>
      <c r="H29">
        <f t="shared" si="3"/>
        <v>59417000</v>
      </c>
      <c r="I29" t="s">
        <v>8</v>
      </c>
    </row>
    <row r="30" spans="2:10" x14ac:dyDescent="0.2">
      <c r="H30">
        <f>SUM(F29:H29)</f>
        <v>105042000</v>
      </c>
    </row>
    <row r="33" spans="2:9" x14ac:dyDescent="0.2">
      <c r="F33">
        <v>2025</v>
      </c>
      <c r="G33">
        <v>2030</v>
      </c>
      <c r="H33">
        <v>2040</v>
      </c>
    </row>
    <row r="34" spans="2:9" x14ac:dyDescent="0.2">
      <c r="B34" t="s">
        <v>7</v>
      </c>
      <c r="D34">
        <v>4997.6999999999989</v>
      </c>
      <c r="E34">
        <v>1300</v>
      </c>
      <c r="F34">
        <v>4000</v>
      </c>
      <c r="G34">
        <v>12000</v>
      </c>
      <c r="H34">
        <v>24000</v>
      </c>
    </row>
    <row r="35" spans="2:9" x14ac:dyDescent="0.2">
      <c r="F35">
        <f>F34-2500</f>
        <v>1500</v>
      </c>
      <c r="G35">
        <f>G34-F34</f>
        <v>8000</v>
      </c>
      <c r="H35">
        <f>H34-G34</f>
        <v>12000</v>
      </c>
    </row>
    <row r="36" spans="2:9" x14ac:dyDescent="0.2">
      <c r="F36">
        <f>F35*369814107/39386</f>
        <v>14084221.817397045</v>
      </c>
      <c r="G36">
        <f t="shared" ref="G36" si="4">G35*369814107/39386</f>
        <v>75115849.692784235</v>
      </c>
      <c r="H36">
        <f t="shared" ref="H36" si="5">H35*369814107/39386</f>
        <v>112673774.53917636</v>
      </c>
    </row>
    <row r="37" spans="2:9" x14ac:dyDescent="0.2">
      <c r="F37">
        <f>F36/F35</f>
        <v>9389.4812115980294</v>
      </c>
      <c r="G37">
        <f t="shared" ref="G37" si="6">G36/G35</f>
        <v>9389.4812115980294</v>
      </c>
      <c r="H37">
        <f t="shared" ref="H37" si="7">H36/H35</f>
        <v>9389.4812115980294</v>
      </c>
      <c r="I37" t="s">
        <v>9</v>
      </c>
    </row>
    <row r="38" spans="2:9" x14ac:dyDescent="0.2">
      <c r="F38">
        <f>CEILING(F36*1.13,10000)</f>
        <v>15920000</v>
      </c>
      <c r="G38">
        <f t="shared" ref="G38:H38" si="8">CEILING(G36*1.13,10000)</f>
        <v>84890000</v>
      </c>
      <c r="H38">
        <f t="shared" si="8"/>
        <v>127330000</v>
      </c>
      <c r="I38" t="s">
        <v>8</v>
      </c>
    </row>
    <row r="39" spans="2:9" x14ac:dyDescent="0.2">
      <c r="H39">
        <f>SUM(F38:H38)</f>
        <v>228140000</v>
      </c>
    </row>
    <row r="42" spans="2:9" x14ac:dyDescent="0.2">
      <c r="B42" t="s">
        <v>10</v>
      </c>
      <c r="D42">
        <v>8249.2999999999993</v>
      </c>
      <c r="E42">
        <v>2100</v>
      </c>
      <c r="F42">
        <v>6200</v>
      </c>
      <c r="G42">
        <v>11000</v>
      </c>
      <c r="H42">
        <v>16000</v>
      </c>
    </row>
    <row r="43" spans="2:9" x14ac:dyDescent="0.2">
      <c r="C43" t="s">
        <v>7</v>
      </c>
      <c r="D43">
        <v>1593.7000000000003</v>
      </c>
      <c r="E43">
        <v>400</v>
      </c>
      <c r="F43">
        <v>1200</v>
      </c>
      <c r="G43">
        <v>3500</v>
      </c>
      <c r="H43">
        <v>6000</v>
      </c>
    </row>
    <row r="44" spans="2:9" x14ac:dyDescent="0.2">
      <c r="C44" t="s">
        <v>11</v>
      </c>
      <c r="D44">
        <v>6655.5999999999995</v>
      </c>
      <c r="E44">
        <v>1700</v>
      </c>
      <c r="F44">
        <v>5000</v>
      </c>
      <c r="G44">
        <v>7500</v>
      </c>
      <c r="H44">
        <v>10000</v>
      </c>
    </row>
    <row r="45" spans="2:9" x14ac:dyDescent="0.2">
      <c r="G45">
        <f>G42-10000</f>
        <v>1000</v>
      </c>
      <c r="H45">
        <f>H42-10000</f>
        <v>6000</v>
      </c>
    </row>
    <row r="46" spans="2:9" x14ac:dyDescent="0.2">
      <c r="F46">
        <f>F45*369814107/39386</f>
        <v>0</v>
      </c>
      <c r="G46">
        <f t="shared" ref="G46" si="9">G45*369814107/39386</f>
        <v>9389481.2115980294</v>
      </c>
      <c r="H46">
        <f t="shared" ref="H46" si="10">H45*369814107/39386</f>
        <v>56336887.26958818</v>
      </c>
    </row>
    <row r="47" spans="2:9" x14ac:dyDescent="0.2">
      <c r="G47">
        <f t="shared" ref="G47" si="11">G46/G45</f>
        <v>9389.4812115980294</v>
      </c>
      <c r="H47">
        <f t="shared" ref="H47" si="12">H46/H45</f>
        <v>9389.4812115980294</v>
      </c>
      <c r="I47" t="s">
        <v>9</v>
      </c>
    </row>
    <row r="48" spans="2:9" x14ac:dyDescent="0.2">
      <c r="G48">
        <f>CEILING(G46*1.13,10000)</f>
        <v>10620000</v>
      </c>
      <c r="H48">
        <f>CEILING(H46*1.13,10000)</f>
        <v>63670000</v>
      </c>
      <c r="I48" t="s">
        <v>8</v>
      </c>
    </row>
    <row r="49" spans="6:9" x14ac:dyDescent="0.2">
      <c r="H49">
        <f>SUM(F48:H48)</f>
        <v>74290000</v>
      </c>
    </row>
    <row r="50" spans="6:9" x14ac:dyDescent="0.2">
      <c r="F50">
        <f>F38+F48</f>
        <v>15920000</v>
      </c>
      <c r="G50">
        <f t="shared" ref="G50:H50" si="13">G38+G48</f>
        <v>95510000</v>
      </c>
      <c r="H50">
        <f t="shared" si="13"/>
        <v>191000000</v>
      </c>
    </row>
    <row r="51" spans="6:9" x14ac:dyDescent="0.2">
      <c r="H51">
        <f>SUM(F50:H50)</f>
        <v>302430000</v>
      </c>
      <c r="I51" t="s">
        <v>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109B6E8E88F504A9F4D17ADA6FEE0B7" ma:contentTypeVersion="8" ma:contentTypeDescription="Criar um novo documento." ma:contentTypeScope="" ma:versionID="0d4a6ad1ec946345535b9dd8f78740fc">
  <xsd:schema xmlns:xsd="http://www.w3.org/2001/XMLSchema" xmlns:xs="http://www.w3.org/2001/XMLSchema" xmlns:p="http://schemas.microsoft.com/office/2006/metadata/properties" xmlns:ns2="bd5997d0-90a2-4eb0-b04b-c06d88c2e1b1" targetNamespace="http://schemas.microsoft.com/office/2006/metadata/properties" ma:root="true" ma:fieldsID="3bf98a6cb4048ad7108eee241027600e" ns2:_="">
    <xsd:import namespace="bd5997d0-90a2-4eb0-b04b-c06d88c2e1b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5997d0-90a2-4eb0-b04b-c06d88c2e1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BF49DB3-21C2-420B-8E61-D9877EA9328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3D35F9F-62EF-4D97-AC0A-596C8F0270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5997d0-90a2-4eb0-b04b-c06d88c2e1b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96AAE5D-AB15-45EF-B817-C6AE923BB711}">
  <ds:schemaRefs>
    <ds:schemaRef ds:uri="bd5997d0-90a2-4eb0-b04b-c06d88c2e1b1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Budget Resume</vt:lpstr>
      <vt:lpstr>Chronogramme</vt:lpstr>
      <vt:lpstr>ProgrMesures_Budget</vt:lpstr>
      <vt:lpstr>Sheet1</vt:lpstr>
      <vt:lpstr>'Budget Resume'!Zone_d_impression</vt:lpstr>
      <vt:lpstr>Chronogramme!Zone_d_impression</vt:lpstr>
      <vt:lpstr>ProgrMesures_Budget!Zone_d_impression</vt:lpstr>
    </vt:vector>
  </TitlesOfParts>
  <Company>BRL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Clément Balique</dc:creator>
  <cp:lastModifiedBy>Clément Balique</cp:lastModifiedBy>
  <dcterms:created xsi:type="dcterms:W3CDTF">2022-01-05T16:51:23Z</dcterms:created>
  <dcterms:modified xsi:type="dcterms:W3CDTF">2022-05-17T10:57:06Z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0x010100D109B6E8E88F504A9F4D17ADA6FEE0B7</vt:lpwstr>
  </property>
</Properties>
</file>